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820" yWindow="135" windowWidth="6285" windowHeight="4020" tabRatio="986" activeTab="0"/>
  </bookViews>
  <sheets>
    <sheet name="Menu" sheetId="1" r:id="rId1"/>
    <sheet name="Descrição" sheetId="2" r:id="rId2"/>
    <sheet name="Total e unitário" sheetId="3" r:id="rId3"/>
    <sheet name="Materiais diretos" sheetId="4" r:id="rId4"/>
    <sheet name="Rateio" sheetId="5" r:id="rId5"/>
    <sheet name="Ponto de Equilíbrio" sheetId="6" r:id="rId6"/>
    <sheet name="Custo Volume Lucro" sheetId="7" r:id="rId7"/>
    <sheet name="Padrão" sheetId="8" r:id="rId8"/>
    <sheet name="Preços" sheetId="9" r:id="rId9"/>
    <sheet name="Ciclo de Vida" sheetId="10" r:id="rId10"/>
    <sheet name="Matemática Financeira" sheetId="11" r:id="rId11"/>
    <sheet name="Regressão" sheetId="12" r:id="rId12"/>
    <sheet name="Autores" sheetId="13" r:id="rId13"/>
    <sheet name="Gabarito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alunos">#REF!</definedName>
    <definedName name="ansen">#REF!</definedName>
    <definedName name="Ar_Price" localSheetId="9">'Ciclo de Vida'!#REF!</definedName>
    <definedName name="Ar_Price">#REF!</definedName>
    <definedName name="Ar_SAC" localSheetId="9">'Ciclo de Vida'!#REF!</definedName>
    <definedName name="Ar_SAC">#REF!</definedName>
    <definedName name="Area_Price" localSheetId="9">'Ciclo de Vida'!$B$10:$C$40</definedName>
    <definedName name="Area_Price">#REF!</definedName>
    <definedName name="Area_t_desigais">#REF!</definedName>
    <definedName name="AreaRegressao">'Regressão'!$B$9:$C$46</definedName>
    <definedName name="as">'[4]Ser-Price'!$B$13:$G$92</definedName>
    <definedName name="Autor">'Autores'!$C$9</definedName>
    <definedName name="Autores">'Autores'!$A$1</definedName>
    <definedName name="BancoDados">#REF!</definedName>
    <definedName name="calcfin" localSheetId="10">'Matemática Financeira'!$B$10</definedName>
    <definedName name="calcfin">#REF!</definedName>
    <definedName name="calcpb">#REF!</definedName>
    <definedName name="CalFinBas" localSheetId="10">'Matemática Financeira'!$C$12:$H$12</definedName>
    <definedName name="CalFinBas" localSheetId="5">#REF!</definedName>
    <definedName name="CalFinBas">#REF!</definedName>
    <definedName name="ciclovida">'Ciclo de Vida'!$A$1</definedName>
    <definedName name="CICVIDA">'Ciclo de Vida'!$B$5:$L$22</definedName>
    <definedName name="CIF" localSheetId="5">'Ponto de Equilíbrio'!#REF!</definedName>
    <definedName name="CIF">#REF!</definedName>
    <definedName name="CIF2">#REF!</definedName>
    <definedName name="contdias" localSheetId="10">'Matemática Financeira'!$B$24:$E$24</definedName>
    <definedName name="contdias">#REF!</definedName>
    <definedName name="contribuintes">#REF!</definedName>
    <definedName name="credito">#REF!</definedName>
    <definedName name="CusPadrao" localSheetId="11">'Regressão'!#REF!</definedName>
    <definedName name="CusPadrao">'Padrão'!#REF!</definedName>
    <definedName name="custovolumelucro">'Custo Volume Lucro'!$A$1</definedName>
    <definedName name="CUSVOLLUC">'Custo Volume Lucro'!#REF!</definedName>
    <definedName name="CVL1">'Custo Volume Lucro'!$B$6:$I$28</definedName>
    <definedName name="CVL2">'Custo Volume Lucro'!$B$29:$F$38</definedName>
    <definedName name="cxcontr">#REF!</definedName>
    <definedName name="DBI">#REF!</definedName>
    <definedName name="DBN">#REF!</definedName>
    <definedName name="DBVF">#REF!</definedName>
    <definedName name="DBVP">#REF!</definedName>
    <definedName name="Descricao">'Descrição'!$A$1</definedName>
    <definedName name="Encragos" localSheetId="5">'Ponto de Equilíbrio'!#REF!</definedName>
    <definedName name="Encragos">#REF!</definedName>
    <definedName name="EquiTaxas" localSheetId="10">'Matemática Financeira'!$B$19:$E$19</definedName>
    <definedName name="EquiTaxas" localSheetId="5">#REF!</definedName>
    <definedName name="EquiTaxas">#REF!</definedName>
    <definedName name="estoques" localSheetId="5">#REF!</definedName>
    <definedName name="estoques">'Materiais diretos'!$B$1</definedName>
    <definedName name="fcs">#REF!</definedName>
    <definedName name="feri" localSheetId="10">'Matemática Financeira'!$B$41</definedName>
    <definedName name="feri">#REF!</definedName>
    <definedName name="feriados" localSheetId="10">'Matemática Financeira'!$B$42:$H$55</definedName>
    <definedName name="feriados">#REF!</definedName>
    <definedName name="formula">'Matemática Financeira'!$C$59:$G$61</definedName>
    <definedName name="fraude">#REF!</definedName>
    <definedName name="Geral" localSheetId="10">'Matemática Financeira'!$B$7</definedName>
    <definedName name="Geral" localSheetId="5">#REF!</definedName>
    <definedName name="Geral">#REF!</definedName>
    <definedName name="Gra_price" localSheetId="9">'Ciclo de Vida'!#REF!</definedName>
    <definedName name="Gra_price">#REF!</definedName>
    <definedName name="Gra_Sac" localSheetId="9">'Ciclo de Vida'!#REF!</definedName>
    <definedName name="Gra_Sac">#REF!</definedName>
    <definedName name="graf">#REF!</definedName>
    <definedName name="grafpe">#REF!</definedName>
    <definedName name="GrafPrice">#REF!</definedName>
    <definedName name="grafregre">'Regressão'!$M$8</definedName>
    <definedName name="Inicial">'Menu'!$E$12</definedName>
    <definedName name="input">#REF!</definedName>
    <definedName name="io">'[4]Ser-Price'!$B$4</definedName>
    <definedName name="JCI">#REF!</definedName>
    <definedName name="JCN">#REF!</definedName>
    <definedName name="JCVF">#REF!</definedName>
    <definedName name="JCVP">#REF!</definedName>
    <definedName name="JSI">#REF!</definedName>
    <definedName name="JSN">#REF!</definedName>
    <definedName name="JSVF">#REF!</definedName>
    <definedName name="JSVP">#REF!</definedName>
    <definedName name="k_desgual">#REF!</definedName>
    <definedName name="ks">#REF!</definedName>
    <definedName name="limpa_totunit">'Total e unitário'!$F$9:$F$12,'Total e unitário'!$D$10:$D$11,'Total e unitário'!$C$10:$C$12,'Total e unitário'!$D$12,'Total e unitário'!$E$10:$E$12,'Total e unitário'!$C$14:$E$16,'Total e unitário'!$F$14:$F$16,'Total e unitário'!$D$19:$D$21,'Total e unitário'!$C$19:$C$21,'Total e unitário'!$E$19:$E$21,'Total e unitário'!$F$19:$F$21,'Total e unitário'!$C$23:$E$25,'Total e unitário'!$F$23:$F$25,'Total e unitário'!$G$7</definedName>
    <definedName name="limpeza">#REF!</definedName>
    <definedName name="Macro">#REF!</definedName>
    <definedName name="MATDIR1">'Materiais diretos'!$A$6:$I$25</definedName>
    <definedName name="MATDIR2">'Materiais diretos'!$B$27:$M$44</definedName>
    <definedName name="MATDIR3">'Materiais diretos'!$N$74</definedName>
    <definedName name="matdiretos">'Materiais diretos'!$A$1</definedName>
    <definedName name="matematicafin">'Matemática Financeira'!$A$1</definedName>
    <definedName name="MATFIN">'Matemática Financeira'!$B$6:$H$15</definedName>
    <definedName name="MatFinanceira">#REF!</definedName>
    <definedName name="MD" localSheetId="5">'Ponto de Equilíbrio'!#REF!</definedName>
    <definedName name="MD">#REF!</definedName>
    <definedName name="menu" localSheetId="5">'[2]Menu'!#REF!</definedName>
    <definedName name="MENU">'Menu'!$A$1:$L$22</definedName>
    <definedName name="Menu1">'Menu'!$A$1:$L$19</definedName>
    <definedName name="Menu2">#REF!</definedName>
    <definedName name="menuinicial">'Menu'!$A$1</definedName>
    <definedName name="MOD" localSheetId="5">'Ponto de Equilíbrio'!#REF!</definedName>
    <definedName name="MOD">#REF!</definedName>
    <definedName name="ModeloGeral" localSheetId="10">'Matemática Financeira'!$A$7:$I$20</definedName>
    <definedName name="ModeloGeral">#REF!</definedName>
    <definedName name="ModeloGeralDatas" localSheetId="10">'Matemática Financeira'!$B$21:$F$29</definedName>
    <definedName name="ModeloGeralDatas">#REF!</definedName>
    <definedName name="ModeloGeralDias" localSheetId="10">'Matemática Financeira'!$B$22:$E$28</definedName>
    <definedName name="ModeloGeralDias">#REF!</definedName>
    <definedName name="ModeloGeralFeriados" localSheetId="10">'Matemática Financeira'!$B$41:$H$55</definedName>
    <definedName name="ModeloGeralFeriados">#REF!</definedName>
    <definedName name="ModeloGeralTaxas" localSheetId="10">'Matemática Financeira'!$B$17:$E$20</definedName>
    <definedName name="ModeloGeralTaxas">#REF!</definedName>
    <definedName name="MultiplicadorSalario" localSheetId="5">'Ponto de Equilíbrio'!#REF!</definedName>
    <definedName name="MultiplicadorSalario">#REF!</definedName>
    <definedName name="Nao_Uniforme" localSheetId="9">'Ciclo de Vida'!$C$10:$C$40,'Ciclo de Vida'!#REF!</definedName>
    <definedName name="Nao_Uniforme" localSheetId="10">'Ciclo de Vida'!$C$10:$C$40,'Ciclo de Vida'!#REF!</definedName>
    <definedName name="Nao_Uniforme" localSheetId="5">'[3]Não Uniforme'!$C$10:$C$89,'[3]Não Uniforme'!$C$6</definedName>
    <definedName name="Nao_Uniforme">#REF!,#REF!</definedName>
    <definedName name="notafiscal">#REF!</definedName>
    <definedName name="nsimu">#REF!</definedName>
    <definedName name="ol">'[4]Ser-Sac'!$B$4</definedName>
    <definedName name="outrasf">#REF!</definedName>
    <definedName name="padrao">'Padrão'!$A$1</definedName>
    <definedName name="PADRÃO">'Padrão'!$B$6:$K$18</definedName>
    <definedName name="Padrao1" localSheetId="11">'Regressão'!$B$15:$D$21</definedName>
    <definedName name="Padrao1">'Padrão'!$B$10:$D$16</definedName>
    <definedName name="Padrao2" localSheetId="11">'Regressão'!$F$15:$G$21</definedName>
    <definedName name="Padrao2">'Padrão'!$F$10:$G$16</definedName>
    <definedName name="pontodeequilibrio">'Ponto de Equilíbrio'!$A$1</definedName>
    <definedName name="PONTOEQ">'Ponto de Equilíbrio'!$B$6:$I$24</definedName>
    <definedName name="preco">'Preços'!$A$1</definedName>
    <definedName name="Preços" localSheetId="5">'Ponto de Equilíbrio'!#REF!</definedName>
    <definedName name="PREÇOS">'Preços'!$B$6:$H$35</definedName>
    <definedName name="Previsao">#REF!</definedName>
    <definedName name="Price" localSheetId="9">'Ciclo de Vida'!$B$4</definedName>
    <definedName name="Price">#REF!</definedName>
    <definedName name="proxquest">#REF!</definedName>
    <definedName name="qw">'Ciclo de Vida'!$B$4</definedName>
    <definedName name="rateio">'Rateio'!$A$1</definedName>
    <definedName name="RATEIO1">'Rateio'!$B$6:$J$30</definedName>
    <definedName name="RATEIO2">'Rateio'!$B$32:$G$37</definedName>
    <definedName name="regr">'Regressão'!$A$1</definedName>
    <definedName name="Regressao">'Regressão'!$B$7</definedName>
    <definedName name="REGRESSÃO">'Regressão'!$B$6:$J$28</definedName>
    <definedName name="resp">#REF!</definedName>
    <definedName name="result">#REF!</definedName>
    <definedName name="rt">'[4]Ser-Price'!$B$95</definedName>
    <definedName name="S_N_U" localSheetId="9">'Ciclo de Vida'!$B$4</definedName>
    <definedName name="S_N_U">#REF!</definedName>
    <definedName name="SAC" localSheetId="9">'Ciclo de Vida'!$B$4</definedName>
    <definedName name="SAC">#REF!</definedName>
    <definedName name="SAC2">#REF!</definedName>
    <definedName name="SI">#REF!</definedName>
    <definedName name="SN">#REF!</definedName>
    <definedName name="SNUTD">#REF!</definedName>
    <definedName name="SNUTI" localSheetId="9">'Ciclo de Vida'!$B$4:$G$24</definedName>
    <definedName name="SNUTI">#REF!</definedName>
    <definedName name="SolucaoBD">#REF!</definedName>
    <definedName name="solver">#REF!</definedName>
    <definedName name="SPMT">#REF!</definedName>
    <definedName name="step">'Ponto de Equilíbrio'!$C$16</definedName>
    <definedName name="SVF">#REF!</definedName>
    <definedName name="SVP">#REF!</definedName>
    <definedName name="t_desiguais">#REF!</definedName>
    <definedName name="tabeladinan">#REF!</definedName>
    <definedName name="TotalUnitario">'Total e unitário'!$A$1</definedName>
    <definedName name="TOTUNIT">'Total e unitário'!$B$6:$G$35</definedName>
    <definedName name="ui">'[4]Ser-Sac'!$B$95</definedName>
    <definedName name="vendas">#REF!</definedName>
  </definedNames>
  <calcPr fullCalcOnLoad="1"/>
</workbook>
</file>

<file path=xl/comments11.xml><?xml version="1.0" encoding="utf-8"?>
<comments xmlns="http://schemas.openxmlformats.org/spreadsheetml/2006/main">
  <authors>
    <author>Adriano Leal Bruni</author>
  </authors>
  <commentList>
    <comment ref="H12" authorId="0">
      <text>
        <r>
          <rPr>
            <b/>
            <sz val="8"/>
            <rFont val="Tahoma"/>
            <family val="2"/>
          </rPr>
          <t xml:space="preserve">Tipo: 0 = postecipado, sem entrada, 1 = antecipado, com entrada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Tipos de juros : 1 = simples, 2 = desconto comercial, 3 = compostos
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Número de períodos de capitalização
</t>
        </r>
      </text>
    </comment>
    <comment ref="D12" authorId="0">
      <text>
        <r>
          <rPr>
            <b/>
            <sz val="8"/>
            <rFont val="Tahoma"/>
            <family val="2"/>
          </rPr>
          <t>Taxa de juros ao período.</t>
        </r>
      </text>
    </comment>
    <comment ref="E12" authorId="0">
      <text>
        <r>
          <rPr>
            <b/>
            <sz val="8"/>
            <rFont val="Tahoma"/>
            <family val="2"/>
          </rPr>
          <t>Valor presente da operação.</t>
        </r>
      </text>
    </comment>
    <comment ref="F12" authorId="0">
      <text>
        <r>
          <rPr>
            <b/>
            <sz val="8"/>
            <rFont val="Tahoma"/>
            <family val="2"/>
          </rPr>
          <t>Valor da prestação.</t>
        </r>
      </text>
    </comment>
    <comment ref="G12" authorId="0">
      <text>
        <r>
          <rPr>
            <b/>
            <sz val="8"/>
            <rFont val="Tahoma"/>
            <family val="2"/>
          </rPr>
          <t>Valor futuro da operação.</t>
        </r>
      </text>
    </comment>
  </commentList>
</comments>
</file>

<file path=xl/sharedStrings.xml><?xml version="1.0" encoding="utf-8"?>
<sst xmlns="http://schemas.openxmlformats.org/spreadsheetml/2006/main" count="450" uniqueCount="308">
  <si>
    <t>N</t>
  </si>
  <si>
    <t>I</t>
  </si>
  <si>
    <t>PV</t>
  </si>
  <si>
    <t>PMT</t>
  </si>
  <si>
    <t>FV</t>
  </si>
  <si>
    <t>TIPO</t>
  </si>
  <si>
    <t>?</t>
  </si>
  <si>
    <t>Taxa A</t>
  </si>
  <si>
    <t>Nper A</t>
  </si>
  <si>
    <t>Taxa B</t>
  </si>
  <si>
    <t>Nper B</t>
  </si>
  <si>
    <t>Cálculos Financeiros Básicos</t>
  </si>
  <si>
    <t>Equivalência de Taxas</t>
  </si>
  <si>
    <t>Juros Compostos</t>
  </si>
  <si>
    <r>
      <t>Tipo :</t>
    </r>
    <r>
      <rPr>
        <b/>
        <i/>
        <sz val="12"/>
        <color indexed="12"/>
        <rFont val="Arial"/>
        <family val="2"/>
      </rPr>
      <t xml:space="preserve"> 0 = postecipado, sem entrada</t>
    </r>
  </si>
  <si>
    <t xml:space="preserve">E-Mail : </t>
  </si>
  <si>
    <t>albruni@hotmail.com</t>
  </si>
  <si>
    <t>Home-Page :</t>
  </si>
  <si>
    <t>http://albruni.tripod.com</t>
  </si>
  <si>
    <r>
      <t xml:space="preserve">Adriano Leal Bruni, </t>
    </r>
    <r>
      <rPr>
        <b/>
        <i/>
        <sz val="14"/>
        <color indexed="12"/>
        <rFont val="Arial"/>
        <family val="2"/>
      </rPr>
      <t>M.Sc.</t>
    </r>
  </si>
  <si>
    <t>Opção :</t>
  </si>
  <si>
    <t>1 - Juros Simples</t>
  </si>
  <si>
    <t>2  - Desconto Bancário</t>
  </si>
  <si>
    <t>3 - Juros Compostos</t>
  </si>
  <si>
    <t>Coloque um "?" no valor que deseja obter.</t>
  </si>
  <si>
    <t>Não tem</t>
  </si>
  <si>
    <t>Juros</t>
  </si>
  <si>
    <t>Total</t>
  </si>
  <si>
    <t>Contagem de dias</t>
  </si>
  <si>
    <t>Início</t>
  </si>
  <si>
    <t>Fim</t>
  </si>
  <si>
    <t>(Não Mexa !!!)</t>
  </si>
  <si>
    <t>Último feriado fornecido =</t>
  </si>
  <si>
    <t xml:space="preserve">            1 = antecipado, com entrada</t>
  </si>
  <si>
    <t>Cálculos na HP 12C - Não Mexa Nunca !!!</t>
  </si>
  <si>
    <t>Operações</t>
  </si>
  <si>
    <t>na HP 12C :</t>
  </si>
  <si>
    <t>Relação de feriados bancários (importante para a contagem de dias úteis).</t>
  </si>
  <si>
    <t>Dias úteis</t>
  </si>
  <si>
    <t>Dias corridos</t>
  </si>
  <si>
    <t>Lembre-se : os feriados devem estar abastecidos.</t>
  </si>
  <si>
    <t>Regime</t>
  </si>
  <si>
    <t>Primeiro feriado fornecido =</t>
  </si>
  <si>
    <t>de garantia, implícita ou explícita, sobre todo o material, incluindo modelos, textos,</t>
  </si>
  <si>
    <t xml:space="preserve">documentos e programas. Os autores e a editora não se responsabilizam por </t>
  </si>
  <si>
    <t>quaisquer incidentes ou danos decorrentes da compra, da performance ou do uso</t>
  </si>
  <si>
    <t>publicado pela Editora Atlas. Embora os melhores esforços tenham sido</t>
  </si>
  <si>
    <t>colocados na sua elaboração, os autores e a editora não dão nenhum tipo</t>
  </si>
  <si>
    <t>dos modelos, teorias e/ou exemplos apresentados no livro ou nesta planilha.</t>
  </si>
  <si>
    <r>
      <t>Atenção :</t>
    </r>
    <r>
      <rPr>
        <b/>
        <sz val="9"/>
        <color indexed="58"/>
        <rFont val="Arial"/>
        <family val="2"/>
      </rPr>
      <t xml:space="preserve"> </t>
    </r>
    <r>
      <rPr>
        <b/>
        <sz val="9"/>
        <color indexed="16"/>
        <rFont val="Arial"/>
        <family val="2"/>
      </rPr>
      <t>os modelos aqui apresentados destinam-se exclusivamente</t>
    </r>
  </si>
  <si>
    <r>
      <t xml:space="preserve">Rubens Famá, </t>
    </r>
    <r>
      <rPr>
        <b/>
        <i/>
        <sz val="14"/>
        <color indexed="12"/>
        <rFont val="Arial"/>
        <family val="2"/>
      </rPr>
      <t>D.Sc.</t>
    </r>
  </si>
  <si>
    <t>rfama@usp.br</t>
  </si>
  <si>
    <t>Planilha CUSTOS.XLS</t>
  </si>
  <si>
    <t>Gerenciando Custos e Preços com o Excel</t>
  </si>
  <si>
    <t>Unitário</t>
  </si>
  <si>
    <t>Qtde =</t>
  </si>
  <si>
    <t>Receita</t>
  </si>
  <si>
    <t>DRE Simplificado</t>
  </si>
  <si>
    <t>MOD</t>
  </si>
  <si>
    <t>CIF</t>
  </si>
  <si>
    <t>Valor</t>
  </si>
  <si>
    <t>Subtotal</t>
  </si>
  <si>
    <t>D</t>
  </si>
  <si>
    <t>Variável</t>
  </si>
  <si>
    <t>Símbolo</t>
  </si>
  <si>
    <t>Unidade</t>
  </si>
  <si>
    <t>Custo do pedido</t>
  </si>
  <si>
    <t>Cp</t>
  </si>
  <si>
    <t>Custo de manutenção</t>
  </si>
  <si>
    <t>Ce</t>
  </si>
  <si>
    <t>Demanda</t>
  </si>
  <si>
    <t>(Q, quantidade do pedido)</t>
  </si>
  <si>
    <t>Custo total de manutenção de estoques</t>
  </si>
  <si>
    <t>Cte = Ce x Q/2</t>
  </si>
  <si>
    <t>Custo total dos pedidos</t>
  </si>
  <si>
    <t>Ctp = Cp x D/Q</t>
  </si>
  <si>
    <t>Custo total</t>
  </si>
  <si>
    <t>CT = Cte + Ctp</t>
  </si>
  <si>
    <t>Gráficos</t>
  </si>
  <si>
    <t>Step</t>
  </si>
  <si>
    <t>Q</t>
  </si>
  <si>
    <t>Cte</t>
  </si>
  <si>
    <t>Ctp</t>
  </si>
  <si>
    <t>CT</t>
  </si>
  <si>
    <t>Cte - Ctp</t>
  </si>
  <si>
    <t xml:space="preserve">    Note no gráfico acima que, quando Ctp e Cte se igualam, CT é mínimo.</t>
  </si>
  <si>
    <t>Soma</t>
  </si>
  <si>
    <t>Receitas</t>
  </si>
  <si>
    <t>Padrão</t>
  </si>
  <si>
    <t>Preço ($)</t>
  </si>
  <si>
    <t>Custo ($)</t>
  </si>
  <si>
    <t>Real</t>
  </si>
  <si>
    <t>Diferença</t>
  </si>
  <si>
    <t>Variação</t>
  </si>
  <si>
    <t>em $</t>
  </si>
  <si>
    <t>em %</t>
  </si>
  <si>
    <t>Análise das variações em $ e %</t>
  </si>
  <si>
    <t>Variação no Preço</t>
  </si>
  <si>
    <t>Ponto de Equilíbrio (q)</t>
  </si>
  <si>
    <t>Ponto de Equilíbrio ($)</t>
  </si>
  <si>
    <t>Margem Segurança (q)</t>
  </si>
  <si>
    <t>Margem Segurança ($)</t>
  </si>
  <si>
    <t>Margem Segurança (%)</t>
  </si>
  <si>
    <t>(-) Gastos Totais</t>
  </si>
  <si>
    <t xml:space="preserve">   (-) Gastos Fixos</t>
  </si>
  <si>
    <t xml:space="preserve">   (-) Gastos Variáveis</t>
  </si>
  <si>
    <t>(=) Lucro Operacional (s/ Desp fin)</t>
  </si>
  <si>
    <t>(=) Lucro Líquido</t>
  </si>
  <si>
    <t xml:space="preserve">   (-) Despesas financeiras</t>
  </si>
  <si>
    <t>Grau de alavancagem operacional (GAo)</t>
  </si>
  <si>
    <t>Grau de alavancagem financeira (GAf)</t>
  </si>
  <si>
    <t>Grau de alavancagem combinada (GAc)</t>
  </si>
  <si>
    <t>Materiais</t>
  </si>
  <si>
    <t>Componentes</t>
  </si>
  <si>
    <t>Variável Independ. (X)</t>
  </si>
  <si>
    <t>Variável Depend. (Y)</t>
  </si>
  <si>
    <t>Para ajuste linear : Y = a + b.X</t>
  </si>
  <si>
    <t xml:space="preserve">a = </t>
  </si>
  <si>
    <t xml:space="preserve">b = </t>
  </si>
  <si>
    <t xml:space="preserve">R = 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</si>
  <si>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</si>
  <si>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t>Equação =</t>
  </si>
  <si>
    <t>Estimativas</t>
  </si>
  <si>
    <t>Para X :</t>
  </si>
  <si>
    <t>Y estimado :</t>
  </si>
  <si>
    <t>Para Y :</t>
  </si>
  <si>
    <t>X estimado :</t>
  </si>
  <si>
    <t>Legenda : variações favoráveis em azul, defavoráveis em vermelho.</t>
  </si>
  <si>
    <t>Data</t>
  </si>
  <si>
    <t>Qtde.</t>
  </si>
  <si>
    <t>Estoque</t>
  </si>
  <si>
    <t>Alíquota do ICMS</t>
  </si>
  <si>
    <t>Alíquota do IPI</t>
  </si>
  <si>
    <t>Valor dos produtos com ICMS (aplicação da fórmula)</t>
  </si>
  <si>
    <t>Valor do IPI</t>
  </si>
  <si>
    <t>Valor do ICMS</t>
  </si>
  <si>
    <t>Base para cálculo da substituição</t>
  </si>
  <si>
    <t>Valor subtotal da operação</t>
  </si>
  <si>
    <t>Valor do ICMS Normal</t>
  </si>
  <si>
    <t>Valor do ICMS Substituído</t>
  </si>
  <si>
    <t>Valor do ICMS Total</t>
  </si>
  <si>
    <t>Valor dos produtos com ICMS Normal (fórmula)</t>
  </si>
  <si>
    <t>Valor total da operação (preço)</t>
  </si>
  <si>
    <r>
      <t xml:space="preserve">a dar suporte didático ao texto </t>
    </r>
    <r>
      <rPr>
        <b/>
        <i/>
        <u val="single"/>
        <sz val="9"/>
        <color indexed="16"/>
        <rFont val="Arial"/>
        <family val="2"/>
      </rPr>
      <t>Gestão de Custos e Formação de Preços</t>
    </r>
    <r>
      <rPr>
        <b/>
        <sz val="9"/>
        <color indexed="16"/>
        <rFont val="Arial"/>
        <family val="2"/>
      </rPr>
      <t>,</t>
    </r>
  </si>
  <si>
    <t>c</t>
  </si>
  <si>
    <t>Tempo</t>
  </si>
  <si>
    <t>Est Inicial</t>
  </si>
  <si>
    <t>Saídas</t>
  </si>
  <si>
    <t>Compras</t>
  </si>
  <si>
    <t>Estoque Seg</t>
  </si>
  <si>
    <t>Estoque Médio (q)</t>
  </si>
  <si>
    <t>Número de ressuprimentos</t>
  </si>
  <si>
    <t>Intervalo</t>
  </si>
  <si>
    <t>Gráfico de perfil de demanda</t>
  </si>
  <si>
    <t>Parâmetros iniciais</t>
  </si>
  <si>
    <t>$</t>
  </si>
  <si>
    <t>VPL</t>
  </si>
  <si>
    <t>TIR</t>
  </si>
  <si>
    <t>Descrição</t>
  </si>
  <si>
    <t>Gastos Fixos Totais</t>
  </si>
  <si>
    <t>Gasto Variável Unitário</t>
  </si>
  <si>
    <t>Preço de Venda Unitário</t>
  </si>
  <si>
    <t>Vendas atuais (qtde)</t>
  </si>
  <si>
    <t>Intervalo do gráfico</t>
  </si>
  <si>
    <t>Ponto de Equlíbrio (q)</t>
  </si>
  <si>
    <t>Ponto de Equlíbrio ($)</t>
  </si>
  <si>
    <t>Margem Segurança (Qtde)</t>
  </si>
  <si>
    <t>GF</t>
  </si>
  <si>
    <t>GV</t>
  </si>
  <si>
    <t>GT</t>
  </si>
  <si>
    <t>Por Adriano Leal Bruni e Rubens Famá</t>
  </si>
  <si>
    <t>Período</t>
  </si>
  <si>
    <t xml:space="preserve">   </t>
  </si>
  <si>
    <t>JS</t>
  </si>
  <si>
    <t>Não existe</t>
  </si>
  <si>
    <t>JC</t>
  </si>
  <si>
    <t>l</t>
  </si>
  <si>
    <t>fómula ==&gt;</t>
  </si>
  <si>
    <t>Cálculos Financeiros Gerais (Não Mexa !!!)</t>
  </si>
  <si>
    <t>Séries Não Uniformes</t>
  </si>
  <si>
    <t>Fluxos</t>
  </si>
  <si>
    <t>Taxa</t>
  </si>
  <si>
    <t>Fórmula : P8  =VPL(P6;M8:M11)+M7</t>
  </si>
  <si>
    <t>Note que o investimento inicial</t>
  </si>
  <si>
    <t>deve ser acrescentado fora da</t>
  </si>
  <si>
    <t>fórmula do VPL.</t>
  </si>
  <si>
    <t>XVPL</t>
  </si>
  <si>
    <t>Fórmula : P21  =XVPL(P19;M20:M24;L20:L24)</t>
  </si>
  <si>
    <t>XTIR</t>
  </si>
  <si>
    <t>Fórmula : P32  =XTIR(M31:M35;L31:L35)</t>
  </si>
  <si>
    <r>
      <t>CUSTOS.XLS:</t>
    </r>
    <r>
      <rPr>
        <sz val="16"/>
        <color indexed="16"/>
        <rFont val="Arial"/>
        <family val="2"/>
      </rPr>
      <t xml:space="preserve"> Modelo geral de análise de custos</t>
    </r>
  </si>
  <si>
    <r>
      <t>CUSTOS.XLS:</t>
    </r>
    <r>
      <rPr>
        <sz val="16"/>
        <color indexed="16"/>
        <rFont val="Arial"/>
        <family val="2"/>
      </rPr>
      <t xml:space="preserve"> Descrição dos modelos presentes na planilha</t>
    </r>
  </si>
  <si>
    <t>Custos variáveis :</t>
  </si>
  <si>
    <t>Subtotal Custos Var</t>
  </si>
  <si>
    <t>Custos fixos :</t>
  </si>
  <si>
    <t>Subtotal Custos Fix</t>
  </si>
  <si>
    <t>Subtotal Custos</t>
  </si>
  <si>
    <t>Desp variáveis :</t>
  </si>
  <si>
    <t>Subtotal Desp Var</t>
  </si>
  <si>
    <t>Desp fixas :</t>
  </si>
  <si>
    <t>Subtotal Desp fixas</t>
  </si>
  <si>
    <t>Subtotal Despesas</t>
  </si>
  <si>
    <t>Total Gastos</t>
  </si>
  <si>
    <t>Resultado</t>
  </si>
  <si>
    <t>Número de unidades =</t>
  </si>
  <si>
    <t>Matéria-prima</t>
  </si>
  <si>
    <t>Embalagem</t>
  </si>
  <si>
    <r>
      <t>CUSTOS.XLS:</t>
    </r>
    <r>
      <rPr>
        <sz val="16"/>
        <color indexed="16"/>
        <rFont val="Arial"/>
        <family val="2"/>
      </rPr>
      <t xml:space="preserve"> Aplicações genéricas com auxílio da matemática financeira</t>
    </r>
  </si>
  <si>
    <r>
      <t>CUSTOS.XLS:</t>
    </r>
    <r>
      <rPr>
        <sz val="16"/>
        <color indexed="16"/>
        <rFont val="Arial"/>
        <family val="2"/>
      </rPr>
      <t xml:space="preserve"> Análise de custos do ciclo de vida - VPL e VUL</t>
    </r>
  </si>
  <si>
    <r>
      <t>CUSTOS.XLS:</t>
    </r>
    <r>
      <rPr>
        <sz val="16"/>
        <color indexed="16"/>
        <rFont val="Arial"/>
        <family val="2"/>
      </rPr>
      <t xml:space="preserve"> Análise do ponto de equilíbrio contábil</t>
    </r>
  </si>
  <si>
    <r>
      <t>CUSTOS.XLS:</t>
    </r>
    <r>
      <rPr>
        <sz val="16"/>
        <color indexed="16"/>
        <rFont val="Arial"/>
        <family val="2"/>
      </rPr>
      <t xml:space="preserve"> Análise de lotes econômicos de compra</t>
    </r>
  </si>
  <si>
    <t>Est Seg</t>
  </si>
  <si>
    <t>Parâmetros do gráfico</t>
  </si>
  <si>
    <t>Ponto mínimo</t>
  </si>
  <si>
    <t>Resultados</t>
  </si>
  <si>
    <r>
      <t>CUSTOS.XLS:</t>
    </r>
    <r>
      <rPr>
        <sz val="16"/>
        <color indexed="16"/>
        <rFont val="Arial"/>
        <family val="2"/>
      </rPr>
      <t xml:space="preserve"> Análise de custo padrão versus real</t>
    </r>
  </si>
  <si>
    <r>
      <t>CUSTOS.XLS:</t>
    </r>
    <r>
      <rPr>
        <sz val="16"/>
        <color indexed="16"/>
        <rFont val="Arial"/>
        <family val="2"/>
      </rPr>
      <t xml:space="preserve"> Análise de regressão aplicada</t>
    </r>
  </si>
  <si>
    <t>Análise de regressão e correlação: gráficos.</t>
  </si>
  <si>
    <r>
      <t>CUSTOS.XLS:</t>
    </r>
    <r>
      <rPr>
        <sz val="16"/>
        <color indexed="16"/>
        <rFont val="Arial"/>
        <family val="2"/>
      </rPr>
      <t xml:space="preserve"> Análise de custos, volumes e lucros.</t>
    </r>
  </si>
  <si>
    <t>IPI integra a base de cálculo? (1=sim, 2=não)</t>
  </si>
  <si>
    <r>
      <t>CUSTOS.XLS:</t>
    </r>
    <r>
      <rPr>
        <sz val="16"/>
        <color indexed="16"/>
        <rFont val="Arial"/>
        <family val="2"/>
      </rPr>
      <t xml:space="preserve"> Descrever</t>
    </r>
  </si>
  <si>
    <r>
      <t>CUSTOS.XLS:</t>
    </r>
    <r>
      <rPr>
        <sz val="16"/>
        <color indexed="16"/>
        <rFont val="Arial"/>
        <family val="2"/>
      </rPr>
      <t xml:space="preserve"> Formação de preços</t>
    </r>
  </si>
  <si>
    <r>
      <t>CUSTOS.XLS:</t>
    </r>
    <r>
      <rPr>
        <sz val="16"/>
        <color indexed="16"/>
        <rFont val="Arial"/>
        <family val="2"/>
      </rPr>
      <t xml:space="preserve"> Autores do livro e da planilha.</t>
    </r>
  </si>
  <si>
    <t>Lucro a ser computado no valor dos produtos</t>
  </si>
  <si>
    <t>Lucro</t>
  </si>
  <si>
    <t>Sem substituição</t>
  </si>
  <si>
    <t>Com substituição</t>
  </si>
  <si>
    <t>Formar preços com lucro em % do preço de venda</t>
  </si>
  <si>
    <t>Preço obtido:</t>
  </si>
  <si>
    <t>Sem substituição tributária</t>
  </si>
  <si>
    <t>Com substituição tributária</t>
  </si>
  <si>
    <t>Gasto dos produtos sem ICMS</t>
  </si>
  <si>
    <t>Valor dos produtos (gasto + lucro)</t>
  </si>
  <si>
    <r>
      <t>CUSTOS.XLS:</t>
    </r>
    <r>
      <rPr>
        <sz val="16"/>
        <color indexed="16"/>
        <rFont val="Arial"/>
        <family val="2"/>
      </rPr>
      <t xml:space="preserve"> Rateio de custos fixos</t>
    </r>
  </si>
  <si>
    <t>Cálculo da margem de contribuição</t>
  </si>
  <si>
    <t>(-) Gastos variáveis</t>
  </si>
  <si>
    <t>(=) Margem de contribuição</t>
  </si>
  <si>
    <t>Análise de custos de pedido e estocagem</t>
  </si>
  <si>
    <t>Dados fornecidos</t>
  </si>
  <si>
    <t>Variável de decisão</t>
  </si>
  <si>
    <t>Lote econômico:</t>
  </si>
  <si>
    <t>Fórmulas dos custos</t>
  </si>
  <si>
    <t>Aluguel da fábrica</t>
  </si>
  <si>
    <t>Fretes de entrega</t>
  </si>
  <si>
    <t>Aluguel do escritório</t>
  </si>
  <si>
    <t>Custos diretos</t>
  </si>
  <si>
    <t>Despesas diretas</t>
  </si>
  <si>
    <t>Depesas indiretas</t>
  </si>
  <si>
    <t>Produto</t>
  </si>
  <si>
    <t>Unidades</t>
  </si>
  <si>
    <t>Alfa</t>
  </si>
  <si>
    <t>Materiais diretos</t>
  </si>
  <si>
    <t>Mão-de-obra direta</t>
  </si>
  <si>
    <t>Custos Indiretos</t>
  </si>
  <si>
    <t>Subtotal CIF</t>
  </si>
  <si>
    <t>Beta</t>
  </si>
  <si>
    <t>Custos Diretos</t>
  </si>
  <si>
    <t>Percentual</t>
  </si>
  <si>
    <t>Manutenção fabril</t>
  </si>
  <si>
    <t>Salário supervisor</t>
  </si>
  <si>
    <t>Depreciação fabril</t>
  </si>
  <si>
    <t>Salário vendedores</t>
  </si>
  <si>
    <t>Comissões de vendas</t>
  </si>
  <si>
    <t>Gastos</t>
  </si>
  <si>
    <t>Outro critério de rateio :</t>
  </si>
  <si>
    <t>Horas máquina</t>
  </si>
  <si>
    <t>Critério de Rateio (1 a 4) =&gt;</t>
  </si>
  <si>
    <t>Vendas</t>
  </si>
  <si>
    <t>Custos</t>
  </si>
  <si>
    <t>Aquisição Analisada</t>
  </si>
  <si>
    <t>K =&gt;</t>
  </si>
  <si>
    <t>Uni</t>
  </si>
  <si>
    <t>Duni</t>
  </si>
  <si>
    <t>Tê</t>
  </si>
  <si>
    <t>Lêlê</t>
  </si>
  <si>
    <t>VUL</t>
  </si>
  <si>
    <t>Parâmetros obtidos</t>
  </si>
  <si>
    <t>Planilha</t>
  </si>
  <si>
    <t xml:space="preserve"> Menu</t>
  </si>
  <si>
    <t>Menu da planilha CUSTOS.XLS. Facilita a navegação e o uso dos modelos apresentados.</t>
  </si>
  <si>
    <t xml:space="preserve"> Descrição</t>
  </si>
  <si>
    <t>Descreve os modelos presentes na planilha CUSTOS.XLS.</t>
  </si>
  <si>
    <t xml:space="preserve"> Total e Unitário</t>
  </si>
  <si>
    <t>Permite construir mapas de composição de custos totais e unitários.</t>
  </si>
  <si>
    <t xml:space="preserve"> Materiais Diretos</t>
  </si>
  <si>
    <t>Facilita cálculos relativos à gestão de materiais, como a determinação do lote econômico de compra e dos gráficos relativos aos custos de estocagem, de pedidos e total.</t>
  </si>
  <si>
    <t xml:space="preserve"> Rateio</t>
  </si>
  <si>
    <t>Possibilita a execução de rateio de gastos indiretos a diferentes produtos, empregando diversos critérios de rateio.</t>
  </si>
  <si>
    <t xml:space="preserve"> Ponto de Equilíbrio</t>
  </si>
  <si>
    <t>Permite analisar o ponto de equilíbrio contábil e as margens de segurança de uma determinada situação.</t>
  </si>
  <si>
    <t xml:space="preserve"> Custo Volume Lucro</t>
  </si>
  <si>
    <t>Facilita o estudo das relações entre custos, volumes e lucros, analisando os efeitos sobre gastos totais e unitários e lucros.</t>
  </si>
  <si>
    <t xml:space="preserve"> Padrão</t>
  </si>
  <si>
    <t>Possibilita análises comprarativas empregando o conceito de custo padrão.</t>
  </si>
  <si>
    <t xml:space="preserve"> Preços</t>
  </si>
  <si>
    <t>Permite a composição rápida e fácil dos preços de venda, incluindo gastos, impostos e lucros desejados.</t>
  </si>
  <si>
    <t xml:space="preserve"> Ciclo de Vida</t>
  </si>
  <si>
    <t>Fornece os principais parâmetros financeiros, como o VPL e o VUL empregados na análise do custeio do ciclo de vida.</t>
  </si>
  <si>
    <t>Permite, de forma fácil, executar as principais operações da matemática financeira.</t>
  </si>
  <si>
    <t xml:space="preserve"> Regressão</t>
  </si>
  <si>
    <t>Facilita os cálculos estatísticos necessários nas análises de regressão e correlação.</t>
  </si>
  <si>
    <t xml:space="preserve"> Autores</t>
  </si>
  <si>
    <t>Apresenta os autores do livro e da planilha.</t>
  </si>
  <si>
    <t>Matemática Financeira</t>
  </si>
  <si>
    <t xml:space="preserve">Uma empresa industrial emprega uma única matéria-prima. Sabendo que a demanda mensal deste material é constante e igual a </t>
  </si>
  <si>
    <t xml:space="preserve"> unidades, que seu custo unitário de pedido é igual a  </t>
  </si>
  <si>
    <t xml:space="preserve">e que seu custo unitário de estocagem é igual a </t>
  </si>
  <si>
    <t xml:space="preserve"> , calcule o lote econêmico de compra.</t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</si>
</sst>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_(* #,##0.000_);_(* \(#,##0.000\);_(* &quot;-&quot;??_);_(@_)"/>
    <numFmt numFmtId="172" formatCode="_(* #,##0.0000_);_(* \(#,##0.0000\);_(* &quot;-&quot;??_);_(@_)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0%"/>
    <numFmt numFmtId="179" formatCode="0.000000%"/>
    <numFmt numFmtId="180" formatCode="#,##0.0"/>
    <numFmt numFmtId="181" formatCode="0.00000"/>
    <numFmt numFmtId="182" formatCode="0.0000"/>
    <numFmt numFmtId="183" formatCode="0.000"/>
    <numFmt numFmtId="184" formatCode="_(* #,##0.0000_);_(* \(#,##0.0000\);_(* &quot;-&quot;????_);_(@_)"/>
    <numFmt numFmtId="185" formatCode="d/m"/>
    <numFmt numFmtId="186" formatCode="_(* #,##0.00000_);_(* \(#,##0.00000\);_(* &quot;-&quot;??_);_(@_)"/>
    <numFmt numFmtId="187" formatCode="0.00000000"/>
    <numFmt numFmtId="188" formatCode="0.0000000"/>
    <numFmt numFmtId="189" formatCode="0.000000"/>
    <numFmt numFmtId="190" formatCode="_(* #,##0.000_);_(* \(#,##0.000\);_(* &quot;-&quot;????_);_(@_)"/>
    <numFmt numFmtId="191" formatCode="_(* #,##0.00_);_(* \(#,##0.00\);_(* &quot;-&quot;??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.00%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#,##0.000"/>
    <numFmt numFmtId="200" formatCode="#,##0.0000"/>
    <numFmt numFmtId="201" formatCode="#,##0.00000"/>
  </numFmts>
  <fonts count="96">
    <font>
      <sz val="10"/>
      <name val="Arial"/>
      <family val="0"/>
    </font>
    <font>
      <sz val="16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b/>
      <sz val="10"/>
      <color indexed="58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sz val="16"/>
      <color indexed="9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i/>
      <u val="single"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u val="single"/>
      <sz val="12"/>
      <color indexed="16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10"/>
      <color indexed="16"/>
      <name val="Arial"/>
      <family val="2"/>
    </font>
    <font>
      <b/>
      <sz val="8"/>
      <name val="Tahoma"/>
      <family val="2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u val="single"/>
      <sz val="9"/>
      <color indexed="58"/>
      <name val="Arial"/>
      <family val="2"/>
    </font>
    <font>
      <b/>
      <sz val="9"/>
      <color indexed="58"/>
      <name val="Arial"/>
      <family val="2"/>
    </font>
    <font>
      <b/>
      <i/>
      <u val="single"/>
      <sz val="9"/>
      <color indexed="16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b/>
      <sz val="2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sz val="20"/>
      <color indexed="1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sz val="10"/>
      <color indexed="55"/>
      <name val="Arial"/>
      <family val="2"/>
    </font>
    <font>
      <b/>
      <sz val="22"/>
      <color indexed="55"/>
      <name val="Arial"/>
      <family val="2"/>
    </font>
    <font>
      <sz val="16"/>
      <color indexed="55"/>
      <name val="Arial"/>
      <family val="2"/>
    </font>
    <font>
      <b/>
      <i/>
      <u val="single"/>
      <sz val="16"/>
      <color indexed="16"/>
      <name val="Arial"/>
      <family val="2"/>
    </font>
    <font>
      <sz val="16"/>
      <color indexed="16"/>
      <name val="Arial"/>
      <family val="2"/>
    </font>
    <font>
      <b/>
      <i/>
      <sz val="12"/>
      <color indexed="18"/>
      <name val="Arial"/>
      <family val="2"/>
    </font>
    <font>
      <sz val="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sz val="8.25"/>
      <color indexed="8"/>
      <name val="Arial"/>
      <family val="0"/>
    </font>
    <font>
      <b/>
      <sz val="6"/>
      <color indexed="8"/>
      <name val="Arial"/>
      <family val="0"/>
    </font>
    <font>
      <b/>
      <i/>
      <sz val="8"/>
      <color indexed="16"/>
      <name val="Arial"/>
      <family val="0"/>
    </font>
    <font>
      <b/>
      <vertAlign val="superscript"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 style="medium"/>
      <top style="dotted"/>
      <bottom style="double"/>
    </border>
    <border>
      <left style="medium"/>
      <right style="medium"/>
      <top style="double"/>
      <bottom style="medium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Dashed"/>
    </border>
    <border>
      <left>
        <color indexed="63"/>
      </left>
      <right>
        <color indexed="63"/>
      </right>
      <top style="double"/>
      <bottom style="mediumDashed"/>
    </border>
    <border>
      <left>
        <color indexed="63"/>
      </left>
      <right style="medium"/>
      <top style="double"/>
      <bottom style="medium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12" fillId="36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" fillId="33" borderId="23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2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14" fontId="24" fillId="37" borderId="2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8" borderId="0" xfId="0" applyFill="1" applyAlignment="1">
      <alignment/>
    </xf>
    <xf numFmtId="0" fontId="16" fillId="33" borderId="0" xfId="0" applyFont="1" applyFill="1" applyAlignment="1">
      <alignment horizontal="center"/>
    </xf>
    <xf numFmtId="43" fontId="1" fillId="0" borderId="0" xfId="53" applyFont="1" applyAlignment="1">
      <alignment/>
    </xf>
    <xf numFmtId="10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1" fillId="0" borderId="0" xfId="51" applyNumberFormat="1" applyFont="1" applyAlignment="1">
      <alignment/>
    </xf>
    <xf numFmtId="176" fontId="1" fillId="0" borderId="0" xfId="51" applyNumberFormat="1" applyFont="1" applyAlignment="1">
      <alignment/>
    </xf>
    <xf numFmtId="179" fontId="1" fillId="0" borderId="0" xfId="51" applyNumberFormat="1" applyFont="1" applyAlignment="1">
      <alignment/>
    </xf>
    <xf numFmtId="0" fontId="26" fillId="37" borderId="22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14" fontId="24" fillId="37" borderId="0" xfId="0" applyNumberFormat="1" applyFont="1" applyFill="1" applyBorder="1" applyAlignment="1">
      <alignment horizontal="center"/>
    </xf>
    <xf numFmtId="0" fontId="2" fillId="37" borderId="18" xfId="0" applyFont="1" applyFill="1" applyBorder="1" applyAlignment="1">
      <alignment/>
    </xf>
    <xf numFmtId="0" fontId="26" fillId="37" borderId="19" xfId="0" applyFont="1" applyFill="1" applyBorder="1" applyAlignment="1">
      <alignment horizontal="center"/>
    </xf>
    <xf numFmtId="0" fontId="30" fillId="38" borderId="15" xfId="0" applyFont="1" applyFill="1" applyBorder="1" applyAlignment="1">
      <alignment/>
    </xf>
    <xf numFmtId="0" fontId="28" fillId="38" borderId="16" xfId="0" applyFont="1" applyFill="1" applyBorder="1" applyAlignment="1">
      <alignment/>
    </xf>
    <xf numFmtId="0" fontId="28" fillId="38" borderId="17" xfId="0" applyFont="1" applyFill="1" applyBorder="1" applyAlignment="1">
      <alignment/>
    </xf>
    <xf numFmtId="0" fontId="28" fillId="38" borderId="18" xfId="0" applyFont="1" applyFill="1" applyBorder="1" applyAlignment="1">
      <alignment/>
    </xf>
    <xf numFmtId="0" fontId="28" fillId="38" borderId="0" xfId="0" applyFont="1" applyFill="1" applyBorder="1" applyAlignment="1">
      <alignment/>
    </xf>
    <xf numFmtId="0" fontId="28" fillId="38" borderId="19" xfId="0" applyFont="1" applyFill="1" applyBorder="1" applyAlignment="1">
      <alignment/>
    </xf>
    <xf numFmtId="0" fontId="29" fillId="38" borderId="0" xfId="0" applyFont="1" applyFill="1" applyBorder="1" applyAlignment="1">
      <alignment/>
    </xf>
    <xf numFmtId="22" fontId="28" fillId="38" borderId="0" xfId="0" applyNumberFormat="1" applyFont="1" applyFill="1" applyBorder="1" applyAlignment="1">
      <alignment/>
    </xf>
    <xf numFmtId="0" fontId="28" fillId="38" borderId="20" xfId="0" applyFont="1" applyFill="1" applyBorder="1" applyAlignment="1">
      <alignment/>
    </xf>
    <xf numFmtId="0" fontId="28" fillId="38" borderId="21" xfId="0" applyFont="1" applyFill="1" applyBorder="1" applyAlignment="1">
      <alignment/>
    </xf>
    <xf numFmtId="0" fontId="28" fillId="38" borderId="22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0" fontId="4" fillId="39" borderId="28" xfId="0" applyFont="1" applyFill="1" applyBorder="1" applyAlignment="1">
      <alignment/>
    </xf>
    <xf numFmtId="0" fontId="15" fillId="39" borderId="29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Fill="1" applyAlignment="1">
      <alignment horizontal="center"/>
    </xf>
    <xf numFmtId="43" fontId="5" fillId="0" borderId="0" xfId="53" applyFont="1" applyFill="1" applyBorder="1" applyAlignment="1">
      <alignment/>
    </xf>
    <xf numFmtId="43" fontId="0" fillId="0" borderId="0" xfId="53" applyAlignment="1">
      <alignment/>
    </xf>
    <xf numFmtId="0" fontId="18" fillId="0" borderId="0" xfId="0" applyFont="1" applyAlignment="1">
      <alignment/>
    </xf>
    <xf numFmtId="43" fontId="0" fillId="38" borderId="0" xfId="53" applyFill="1" applyAlignment="1">
      <alignment/>
    </xf>
    <xf numFmtId="0" fontId="9" fillId="0" borderId="0" xfId="0" applyFont="1" applyAlignment="1">
      <alignment/>
    </xf>
    <xf numFmtId="0" fontId="0" fillId="38" borderId="30" xfId="0" applyFill="1" applyBorder="1" applyAlignment="1">
      <alignment horizontal="center"/>
    </xf>
    <xf numFmtId="0" fontId="0" fillId="0" borderId="0" xfId="0" applyBorder="1" applyAlignment="1">
      <alignment/>
    </xf>
    <xf numFmtId="43" fontId="21" fillId="35" borderId="31" xfId="53" applyFont="1" applyFill="1" applyBorder="1" applyAlignment="1">
      <alignment/>
    </xf>
    <xf numFmtId="0" fontId="8" fillId="0" borderId="0" xfId="0" applyFont="1" applyAlignment="1">
      <alignment/>
    </xf>
    <xf numFmtId="43" fontId="17" fillId="0" borderId="0" xfId="53" applyFont="1" applyBorder="1" applyAlignment="1">
      <alignment/>
    </xf>
    <xf numFmtId="0" fontId="33" fillId="33" borderId="32" xfId="0" applyFont="1" applyFill="1" applyBorder="1" applyAlignment="1">
      <alignment horizontal="center"/>
    </xf>
    <xf numFmtId="0" fontId="33" fillId="33" borderId="33" xfId="0" applyFont="1" applyFill="1" applyBorder="1" applyAlignment="1">
      <alignment/>
    </xf>
    <xf numFmtId="0" fontId="33" fillId="33" borderId="34" xfId="0" applyFont="1" applyFill="1" applyBorder="1" applyAlignment="1">
      <alignment/>
    </xf>
    <xf numFmtId="0" fontId="33" fillId="33" borderId="35" xfId="0" applyFont="1" applyFill="1" applyBorder="1" applyAlignment="1">
      <alignment/>
    </xf>
    <xf numFmtId="0" fontId="33" fillId="33" borderId="36" xfId="0" applyFont="1" applyFill="1" applyBorder="1" applyAlignment="1">
      <alignment/>
    </xf>
    <xf numFmtId="0" fontId="33" fillId="33" borderId="31" xfId="0" applyFont="1" applyFill="1" applyBorder="1" applyAlignment="1">
      <alignment horizontal="center"/>
    </xf>
    <xf numFmtId="0" fontId="23" fillId="33" borderId="31" xfId="0" applyFont="1" applyFill="1" applyBorder="1" applyAlignment="1">
      <alignment/>
    </xf>
    <xf numFmtId="43" fontId="23" fillId="33" borderId="31" xfId="53" applyFont="1" applyFill="1" applyBorder="1" applyAlignment="1">
      <alignment/>
    </xf>
    <xf numFmtId="0" fontId="21" fillId="35" borderId="31" xfId="0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7" fillId="33" borderId="31" xfId="0" applyFont="1" applyFill="1" applyBorder="1" applyAlignment="1">
      <alignment horizontal="right"/>
    </xf>
    <xf numFmtId="0" fontId="0" fillId="36" borderId="31" xfId="0" applyFill="1" applyBorder="1" applyAlignment="1">
      <alignment/>
    </xf>
    <xf numFmtId="0" fontId="8" fillId="36" borderId="31" xfId="0" applyFont="1" applyFill="1" applyBorder="1" applyAlignment="1">
      <alignment/>
    </xf>
    <xf numFmtId="43" fontId="0" fillId="36" borderId="31" xfId="53" applyFont="1" applyFill="1" applyBorder="1" applyAlignment="1">
      <alignment/>
    </xf>
    <xf numFmtId="43" fontId="8" fillId="36" borderId="31" xfId="53" applyFont="1" applyFill="1" applyBorder="1" applyAlignment="1">
      <alignment/>
    </xf>
    <xf numFmtId="0" fontId="17" fillId="33" borderId="31" xfId="0" applyFont="1" applyFill="1" applyBorder="1" applyAlignment="1">
      <alignment/>
    </xf>
    <xf numFmtId="43" fontId="17" fillId="33" borderId="31" xfId="53" applyFont="1" applyFill="1" applyBorder="1" applyAlignment="1">
      <alignment/>
    </xf>
    <xf numFmtId="0" fontId="16" fillId="33" borderId="33" xfId="0" applyFont="1" applyFill="1" applyBorder="1" applyAlignment="1">
      <alignment horizontal="right"/>
    </xf>
    <xf numFmtId="0" fontId="16" fillId="33" borderId="35" xfId="0" applyFont="1" applyFill="1" applyBorder="1" applyAlignment="1">
      <alignment horizontal="left"/>
    </xf>
    <xf numFmtId="10" fontId="0" fillId="36" borderId="31" xfId="51" applyNumberFormat="1" applyFont="1" applyFill="1" applyBorder="1" applyAlignment="1">
      <alignment/>
    </xf>
    <xf numFmtId="43" fontId="0" fillId="33" borderId="31" xfId="53" applyFont="1" applyFill="1" applyBorder="1" applyAlignment="1">
      <alignment/>
    </xf>
    <xf numFmtId="10" fontId="0" fillId="33" borderId="31" xfId="51" applyNumberFormat="1" applyFont="1" applyFill="1" applyBorder="1" applyAlignment="1">
      <alignment/>
    </xf>
    <xf numFmtId="0" fontId="0" fillId="36" borderId="37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43" fontId="0" fillId="36" borderId="40" xfId="53" applyFont="1" applyFill="1" applyBorder="1" applyAlignment="1">
      <alignment/>
    </xf>
    <xf numFmtId="43" fontId="0" fillId="36" borderId="41" xfId="53" applyFont="1" applyFill="1" applyBorder="1" applyAlignment="1">
      <alignment/>
    </xf>
    <xf numFmtId="43" fontId="0" fillId="36" borderId="0" xfId="53" applyFont="1" applyFill="1" applyBorder="1" applyAlignment="1">
      <alignment/>
    </xf>
    <xf numFmtId="43" fontId="0" fillId="36" borderId="42" xfId="53" applyFont="1" applyFill="1" applyBorder="1" applyAlignment="1">
      <alignment/>
    </xf>
    <xf numFmtId="43" fontId="0" fillId="36" borderId="43" xfId="53" applyFont="1" applyFill="1" applyBorder="1" applyAlignment="1">
      <alignment/>
    </xf>
    <xf numFmtId="43" fontId="0" fillId="36" borderId="44" xfId="53" applyFont="1" applyFill="1" applyBorder="1" applyAlignment="1">
      <alignment/>
    </xf>
    <xf numFmtId="43" fontId="17" fillId="36" borderId="0" xfId="53" applyFont="1" applyFill="1" applyBorder="1" applyAlignment="1">
      <alignment/>
    </xf>
    <xf numFmtId="43" fontId="17" fillId="36" borderId="40" xfId="53" applyFont="1" applyFill="1" applyBorder="1" applyAlignment="1">
      <alignment/>
    </xf>
    <xf numFmtId="43" fontId="17" fillId="36" borderId="41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17" fillId="0" borderId="0" xfId="53" applyFont="1" applyFill="1" applyBorder="1" applyAlignment="1">
      <alignment/>
    </xf>
    <xf numFmtId="43" fontId="0" fillId="0" borderId="0" xfId="53" applyFont="1" applyFill="1" applyBorder="1" applyAlignment="1">
      <alignment/>
    </xf>
    <xf numFmtId="0" fontId="34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21" fillId="36" borderId="31" xfId="53" applyNumberFormat="1" applyFont="1" applyFill="1" applyBorder="1" applyAlignment="1">
      <alignment/>
    </xf>
    <xf numFmtId="172" fontId="23" fillId="33" borderId="31" xfId="53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3" fontId="21" fillId="0" borderId="0" xfId="53" applyFont="1" applyFill="1" applyBorder="1" applyAlignment="1">
      <alignment/>
    </xf>
    <xf numFmtId="172" fontId="21" fillId="0" borderId="0" xfId="53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3" fontId="23" fillId="0" borderId="0" xfId="53" applyFont="1" applyFill="1" applyBorder="1" applyAlignment="1">
      <alignment/>
    </xf>
    <xf numFmtId="172" fontId="23" fillId="0" borderId="0" xfId="53" applyNumberFormat="1" applyFont="1" applyFill="1" applyBorder="1" applyAlignment="1">
      <alignment/>
    </xf>
    <xf numFmtId="0" fontId="35" fillId="0" borderId="0" xfId="0" applyFont="1" applyAlignment="1">
      <alignment/>
    </xf>
    <xf numFmtId="0" fontId="0" fillId="36" borderId="0" xfId="0" applyFill="1" applyAlignment="1">
      <alignment horizontal="right"/>
    </xf>
    <xf numFmtId="182" fontId="0" fillId="36" borderId="0" xfId="0" applyNumberFormat="1" applyFill="1" applyAlignment="1">
      <alignment/>
    </xf>
    <xf numFmtId="172" fontId="0" fillId="36" borderId="0" xfId="53" applyNumberFormat="1" applyFont="1" applyFill="1" applyAlignment="1">
      <alignment/>
    </xf>
    <xf numFmtId="0" fontId="33" fillId="0" borderId="0" xfId="0" applyFont="1" applyFill="1" applyBorder="1" applyAlignment="1">
      <alignment horizontal="left"/>
    </xf>
    <xf numFmtId="172" fontId="33" fillId="33" borderId="33" xfId="53" applyNumberFormat="1" applyFont="1" applyFill="1" applyBorder="1" applyAlignment="1">
      <alignment/>
    </xf>
    <xf numFmtId="172" fontId="33" fillId="33" borderId="35" xfId="53" applyNumberFormat="1" applyFont="1" applyFill="1" applyBorder="1" applyAlignment="1">
      <alignment/>
    </xf>
    <xf numFmtId="0" fontId="33" fillId="35" borderId="3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0" xfId="0" applyFill="1" applyAlignment="1">
      <alignment horizontal="center"/>
    </xf>
    <xf numFmtId="0" fontId="0" fillId="38" borderId="31" xfId="0" applyFill="1" applyBorder="1" applyAlignment="1">
      <alignment/>
    </xf>
    <xf numFmtId="0" fontId="17" fillId="0" borderId="0" xfId="0" applyFont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53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43" fontId="0" fillId="36" borderId="0" xfId="0" applyNumberFormat="1" applyFill="1" applyAlignment="1">
      <alignment/>
    </xf>
    <xf numFmtId="0" fontId="0" fillId="33" borderId="0" xfId="0" applyFill="1" applyAlignment="1">
      <alignment/>
    </xf>
    <xf numFmtId="43" fontId="0" fillId="36" borderId="0" xfId="53" applyFont="1" applyFill="1" applyAlignment="1">
      <alignment horizontal="center"/>
    </xf>
    <xf numFmtId="174" fontId="0" fillId="36" borderId="0" xfId="53" applyNumberFormat="1" applyFont="1" applyFill="1" applyAlignment="1">
      <alignment/>
    </xf>
    <xf numFmtId="0" fontId="0" fillId="36" borderId="0" xfId="0" applyFill="1" applyAlignment="1">
      <alignment horizontal="center"/>
    </xf>
    <xf numFmtId="0" fontId="34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8" fillId="0" borderId="0" xfId="0" applyFont="1" applyAlignment="1">
      <alignment/>
    </xf>
    <xf numFmtId="0" fontId="41" fillId="35" borderId="0" xfId="53" applyNumberFormat="1" applyFont="1" applyFill="1" applyAlignment="1">
      <alignment horizontal="left"/>
    </xf>
    <xf numFmtId="0" fontId="0" fillId="36" borderId="31" xfId="0" applyFill="1" applyBorder="1" applyAlignment="1">
      <alignment horizontal="center"/>
    </xf>
    <xf numFmtId="43" fontId="0" fillId="35" borderId="0" xfId="53" applyFill="1" applyAlignment="1">
      <alignment/>
    </xf>
    <xf numFmtId="0" fontId="0" fillId="35" borderId="0" xfId="0" applyFill="1" applyAlignment="1" applyProtection="1">
      <alignment/>
      <protection locked="0"/>
    </xf>
    <xf numFmtId="0" fontId="42" fillId="40" borderId="0" xfId="0" applyFont="1" applyFill="1" applyAlignment="1">
      <alignment horizontal="left"/>
    </xf>
    <xf numFmtId="0" fontId="42" fillId="40" borderId="0" xfId="0" applyFont="1" applyFill="1" applyAlignment="1">
      <alignment horizontal="center"/>
    </xf>
    <xf numFmtId="0" fontId="1" fillId="0" borderId="0" xfId="0" applyFont="1" applyAlignment="1" applyProtection="1">
      <alignment/>
      <protection locked="0"/>
    </xf>
    <xf numFmtId="43" fontId="0" fillId="37" borderId="16" xfId="0" applyNumberFormat="1" applyFont="1" applyFill="1" applyBorder="1" applyAlignment="1" applyProtection="1">
      <alignment vertical="center"/>
      <protection hidden="1"/>
    </xf>
    <xf numFmtId="0" fontId="0" fillId="37" borderId="16" xfId="0" applyFill="1" applyBorder="1" applyAlignment="1" applyProtection="1">
      <alignment vertical="center"/>
      <protection hidden="1"/>
    </xf>
    <xf numFmtId="0" fontId="0" fillId="37" borderId="17" xfId="0" applyFill="1" applyBorder="1" applyAlignment="1" applyProtection="1">
      <alignment vertical="center"/>
      <protection hidden="1"/>
    </xf>
    <xf numFmtId="0" fontId="0" fillId="37" borderId="21" xfId="0" applyFill="1" applyBorder="1" applyAlignment="1" applyProtection="1">
      <alignment vertical="center"/>
      <protection hidden="1"/>
    </xf>
    <xf numFmtId="0" fontId="0" fillId="37" borderId="22" xfId="0" applyFill="1" applyBorder="1" applyAlignment="1" applyProtection="1">
      <alignment vertical="center"/>
      <protection hidden="1"/>
    </xf>
    <xf numFmtId="10" fontId="1" fillId="0" borderId="0" xfId="53" applyNumberFormat="1" applyFont="1" applyAlignment="1" applyProtection="1">
      <alignment/>
      <protection locked="0"/>
    </xf>
    <xf numFmtId="43" fontId="1" fillId="0" borderId="0" xfId="53" applyFont="1" applyAlignment="1" applyProtection="1">
      <alignment/>
      <protection locked="0"/>
    </xf>
    <xf numFmtId="0" fontId="1" fillId="37" borderId="0" xfId="0" applyFont="1" applyFill="1" applyAlignment="1" applyProtection="1">
      <alignment/>
      <protection hidden="1"/>
    </xf>
    <xf numFmtId="0" fontId="1" fillId="41" borderId="0" xfId="0" applyFont="1" applyFill="1" applyAlignment="1" applyProtection="1">
      <alignment/>
      <protection hidden="1"/>
    </xf>
    <xf numFmtId="0" fontId="43" fillId="0" borderId="0" xfId="0" applyFont="1" applyAlignment="1">
      <alignment/>
    </xf>
    <xf numFmtId="0" fontId="44" fillId="33" borderId="15" xfId="0" applyFont="1" applyFill="1" applyBorder="1" applyAlignment="1" applyProtection="1">
      <alignment horizontal="center"/>
      <protection hidden="1"/>
    </xf>
    <xf numFmtId="0" fontId="44" fillId="33" borderId="16" xfId="0" applyFont="1" applyFill="1" applyBorder="1" applyAlignment="1" applyProtection="1">
      <alignment horizontal="center"/>
      <protection hidden="1"/>
    </xf>
    <xf numFmtId="0" fontId="44" fillId="33" borderId="16" xfId="0" applyFont="1" applyFill="1" applyBorder="1" applyAlignment="1" applyProtection="1">
      <alignment/>
      <protection hidden="1"/>
    </xf>
    <xf numFmtId="0" fontId="44" fillId="33" borderId="17" xfId="0" applyFont="1" applyFill="1" applyBorder="1" applyAlignment="1" applyProtection="1">
      <alignment/>
      <protection hidden="1"/>
    </xf>
    <xf numFmtId="0" fontId="45" fillId="33" borderId="18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vertical="center"/>
      <protection hidden="1"/>
    </xf>
    <xf numFmtId="0" fontId="43" fillId="33" borderId="0" xfId="0" applyFont="1" applyFill="1" applyBorder="1" applyAlignment="1" applyProtection="1">
      <alignment/>
      <protection hidden="1"/>
    </xf>
    <xf numFmtId="0" fontId="43" fillId="33" borderId="19" xfId="0" applyFont="1" applyFill="1" applyBorder="1" applyAlignment="1" applyProtection="1">
      <alignment/>
      <protection hidden="1"/>
    </xf>
    <xf numFmtId="0" fontId="45" fillId="33" borderId="20" xfId="0" applyFont="1" applyFill="1" applyBorder="1" applyAlignment="1" applyProtection="1">
      <alignment/>
      <protection hidden="1"/>
    </xf>
    <xf numFmtId="0" fontId="46" fillId="33" borderId="21" xfId="0" applyFont="1" applyFill="1" applyBorder="1" applyAlignment="1" applyProtection="1">
      <alignment vertical="center"/>
      <protection hidden="1"/>
    </xf>
    <xf numFmtId="0" fontId="43" fillId="33" borderId="21" xfId="0" applyFont="1" applyFill="1" applyBorder="1" applyAlignment="1" applyProtection="1">
      <alignment/>
      <protection hidden="1"/>
    </xf>
    <xf numFmtId="0" fontId="43" fillId="33" borderId="22" xfId="0" applyFont="1" applyFill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4" fillId="42" borderId="15" xfId="0" applyFont="1" applyFill="1" applyBorder="1" applyAlignment="1" applyProtection="1">
      <alignment/>
      <protection hidden="1"/>
    </xf>
    <xf numFmtId="0" fontId="44" fillId="42" borderId="16" xfId="0" applyFont="1" applyFill="1" applyBorder="1" applyAlignment="1" applyProtection="1">
      <alignment/>
      <protection hidden="1"/>
    </xf>
    <xf numFmtId="0" fontId="44" fillId="42" borderId="17" xfId="0" applyFont="1" applyFill="1" applyBorder="1" applyAlignment="1" applyProtection="1">
      <alignment/>
      <protection hidden="1"/>
    </xf>
    <xf numFmtId="0" fontId="43" fillId="42" borderId="18" xfId="0" applyFont="1" applyFill="1" applyBorder="1" applyAlignment="1" applyProtection="1">
      <alignment horizontal="center"/>
      <protection hidden="1"/>
    </xf>
    <xf numFmtId="0" fontId="43" fillId="42" borderId="0" xfId="0" applyFont="1" applyFill="1" applyBorder="1" applyAlignment="1" applyProtection="1">
      <alignment horizontal="center"/>
      <protection hidden="1"/>
    </xf>
    <xf numFmtId="0" fontId="43" fillId="42" borderId="19" xfId="0" applyFont="1" applyFill="1" applyBorder="1" applyAlignment="1" applyProtection="1">
      <alignment horizontal="center"/>
      <protection hidden="1"/>
    </xf>
    <xf numFmtId="43" fontId="45" fillId="42" borderId="0" xfId="53" applyFont="1" applyFill="1" applyBorder="1" applyAlignment="1" applyProtection="1">
      <alignment/>
      <protection hidden="1"/>
    </xf>
    <xf numFmtId="10" fontId="45" fillId="42" borderId="0" xfId="51" applyNumberFormat="1" applyFont="1" applyFill="1" applyBorder="1" applyAlignment="1" applyProtection="1">
      <alignment/>
      <protection hidden="1"/>
    </xf>
    <xf numFmtId="43" fontId="45" fillId="42" borderId="0" xfId="53" applyFont="1" applyFill="1" applyBorder="1" applyAlignment="1" applyProtection="1">
      <alignment horizontal="center"/>
      <protection hidden="1"/>
    </xf>
    <xf numFmtId="43" fontId="45" fillId="42" borderId="19" xfId="53" applyFont="1" applyFill="1" applyBorder="1" applyAlignment="1" applyProtection="1">
      <alignment/>
      <protection hidden="1"/>
    </xf>
    <xf numFmtId="0" fontId="43" fillId="42" borderId="20" xfId="0" applyFont="1" applyFill="1" applyBorder="1" applyAlignment="1" applyProtection="1">
      <alignment horizontal="center"/>
      <protection hidden="1"/>
    </xf>
    <xf numFmtId="43" fontId="45" fillId="42" borderId="21" xfId="53" applyFont="1" applyFill="1" applyBorder="1" applyAlignment="1" applyProtection="1">
      <alignment/>
      <protection hidden="1"/>
    </xf>
    <xf numFmtId="10" fontId="45" fillId="42" borderId="21" xfId="51" applyNumberFormat="1" applyFont="1" applyFill="1" applyBorder="1" applyAlignment="1" applyProtection="1">
      <alignment/>
      <protection hidden="1"/>
    </xf>
    <xf numFmtId="43" fontId="45" fillId="42" borderId="22" xfId="53" applyFont="1" applyFill="1" applyBorder="1" applyAlignment="1" applyProtection="1">
      <alignment/>
      <protection hidden="1"/>
    </xf>
    <xf numFmtId="0" fontId="43" fillId="33" borderId="15" xfId="0" applyFont="1" applyFill="1" applyBorder="1" applyAlignment="1" applyProtection="1">
      <alignment/>
      <protection hidden="1"/>
    </xf>
    <xf numFmtId="0" fontId="43" fillId="33" borderId="16" xfId="0" applyFont="1" applyFill="1" applyBorder="1" applyAlignment="1" applyProtection="1">
      <alignment/>
      <protection hidden="1"/>
    </xf>
    <xf numFmtId="0" fontId="43" fillId="33" borderId="17" xfId="0" applyFont="1" applyFill="1" applyBorder="1" applyAlignment="1" applyProtection="1">
      <alignment/>
      <protection hidden="1"/>
    </xf>
    <xf numFmtId="0" fontId="43" fillId="33" borderId="18" xfId="0" applyFont="1" applyFill="1" applyBorder="1" applyAlignment="1" applyProtection="1">
      <alignment horizontal="center"/>
      <protection hidden="1"/>
    </xf>
    <xf numFmtId="0" fontId="43" fillId="33" borderId="0" xfId="0" applyFont="1" applyFill="1" applyBorder="1" applyAlignment="1" applyProtection="1">
      <alignment horizontal="center"/>
      <protection hidden="1"/>
    </xf>
    <xf numFmtId="0" fontId="43" fillId="33" borderId="19" xfId="0" applyFont="1" applyFill="1" applyBorder="1" applyAlignment="1" applyProtection="1">
      <alignment horizontal="center"/>
      <protection hidden="1"/>
    </xf>
    <xf numFmtId="0" fontId="47" fillId="33" borderId="18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47" fillId="33" borderId="19" xfId="0" applyFont="1" applyFill="1" applyBorder="1" applyAlignment="1" applyProtection="1">
      <alignment/>
      <protection hidden="1"/>
    </xf>
    <xf numFmtId="0" fontId="47" fillId="33" borderId="20" xfId="0" applyFont="1" applyFill="1" applyBorder="1" applyAlignment="1" applyProtection="1">
      <alignment/>
      <protection hidden="1"/>
    </xf>
    <xf numFmtId="0" fontId="47" fillId="33" borderId="21" xfId="0" applyFont="1" applyFill="1" applyBorder="1" applyAlignment="1" applyProtection="1">
      <alignment/>
      <protection hidden="1"/>
    </xf>
    <xf numFmtId="0" fontId="47" fillId="33" borderId="22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0" applyFont="1" applyBorder="1" applyAlignment="1" applyProtection="1">
      <alignment/>
      <protection hidden="1" locked="0"/>
    </xf>
    <xf numFmtId="0" fontId="50" fillId="0" borderId="0" xfId="0" applyFont="1" applyBorder="1" applyAlignment="1" applyProtection="1">
      <alignment/>
      <protection hidden="1" locked="0"/>
    </xf>
    <xf numFmtId="0" fontId="51" fillId="0" borderId="0" xfId="0" applyFont="1" applyBorder="1" applyAlignment="1" applyProtection="1">
      <alignment/>
      <protection hidden="1" locked="0"/>
    </xf>
    <xf numFmtId="9" fontId="0" fillId="38" borderId="0" xfId="0" applyNumberFormat="1" applyFill="1" applyAlignment="1">
      <alignment/>
    </xf>
    <xf numFmtId="0" fontId="49" fillId="0" borderId="0" xfId="0" applyFont="1" applyBorder="1" applyAlignment="1" applyProtection="1">
      <alignment horizontal="center"/>
      <protection hidden="1" locked="0"/>
    </xf>
    <xf numFmtId="43" fontId="49" fillId="0" borderId="0" xfId="53" applyFont="1" applyBorder="1" applyAlignment="1" applyProtection="1">
      <alignment horizontal="center"/>
      <protection hidden="1" locked="0"/>
    </xf>
    <xf numFmtId="0" fontId="16" fillId="38" borderId="0" xfId="0" applyFont="1" applyFill="1" applyAlignment="1">
      <alignment/>
    </xf>
    <xf numFmtId="9" fontId="16" fillId="38" borderId="0" xfId="0" applyNumberFormat="1" applyFont="1" applyFill="1" applyAlignment="1">
      <alignment/>
    </xf>
    <xf numFmtId="14" fontId="0" fillId="35" borderId="0" xfId="0" applyNumberFormat="1" applyFill="1" applyAlignment="1">
      <alignment horizontal="center"/>
    </xf>
    <xf numFmtId="43" fontId="16" fillId="38" borderId="0" xfId="53" applyFont="1" applyFill="1" applyAlignment="1">
      <alignment/>
    </xf>
    <xf numFmtId="0" fontId="16" fillId="0" borderId="0" xfId="0" applyFont="1" applyFill="1" applyAlignment="1">
      <alignment/>
    </xf>
    <xf numFmtId="9" fontId="16" fillId="0" borderId="0" xfId="0" applyNumberFormat="1" applyFont="1" applyFill="1" applyAlignment="1">
      <alignment horizontal="center"/>
    </xf>
    <xf numFmtId="10" fontId="16" fillId="38" borderId="0" xfId="51" applyNumberFormat="1" applyFont="1" applyFill="1" applyAlignment="1">
      <alignment/>
    </xf>
    <xf numFmtId="0" fontId="49" fillId="0" borderId="0" xfId="0" applyFont="1" applyFill="1" applyBorder="1" applyAlignment="1" applyProtection="1">
      <alignment/>
      <protection hidden="1" locked="0"/>
    </xf>
    <xf numFmtId="0" fontId="6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52" fillId="33" borderId="29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9" xfId="0" applyFill="1" applyBorder="1" applyAlignment="1">
      <alignment/>
    </xf>
    <xf numFmtId="39" fontId="16" fillId="38" borderId="30" xfId="0" applyNumberFormat="1" applyFont="1" applyFill="1" applyBorder="1" applyAlignment="1">
      <alignment/>
    </xf>
    <xf numFmtId="39" fontId="0" fillId="38" borderId="45" xfId="0" applyNumberFormat="1" applyFill="1" applyBorder="1" applyAlignment="1">
      <alignment/>
    </xf>
    <xf numFmtId="0" fontId="0" fillId="40" borderId="31" xfId="0" applyFill="1" applyBorder="1" applyAlignment="1">
      <alignment horizontal="left"/>
    </xf>
    <xf numFmtId="43" fontId="0" fillId="38" borderId="31" xfId="53" applyFill="1" applyBorder="1" applyAlignment="1" applyProtection="1">
      <alignment/>
      <protection locked="0"/>
    </xf>
    <xf numFmtId="175" fontId="0" fillId="38" borderId="31" xfId="53" applyNumberFormat="1" applyFill="1" applyBorder="1" applyAlignment="1" applyProtection="1">
      <alignment/>
      <protection locked="0"/>
    </xf>
    <xf numFmtId="0" fontId="0" fillId="38" borderId="31" xfId="0" applyFill="1" applyBorder="1" applyAlignment="1" applyProtection="1">
      <alignment horizontal="center"/>
      <protection locked="0"/>
    </xf>
    <xf numFmtId="0" fontId="11" fillId="43" borderId="31" xfId="0" applyFont="1" applyFill="1" applyBorder="1" applyAlignment="1">
      <alignment horizontal="center"/>
    </xf>
    <xf numFmtId="0" fontId="0" fillId="36" borderId="31" xfId="0" applyFill="1" applyBorder="1" applyAlignment="1">
      <alignment horizontal="left"/>
    </xf>
    <xf numFmtId="175" fontId="5" fillId="36" borderId="31" xfId="53" applyNumberFormat="1" applyFont="1" applyFill="1" applyBorder="1" applyAlignment="1">
      <alignment horizontal="center"/>
    </xf>
    <xf numFmtId="43" fontId="5" fillId="36" borderId="31" xfId="53" applyFont="1" applyFill="1" applyBorder="1" applyAlignment="1">
      <alignment horizontal="center"/>
    </xf>
    <xf numFmtId="9" fontId="5" fillId="36" borderId="31" xfId="51" applyFont="1" applyFill="1" applyBorder="1" applyAlignment="1">
      <alignment horizontal="right"/>
    </xf>
    <xf numFmtId="0" fontId="0" fillId="36" borderId="0" xfId="0" applyFill="1" applyAlignment="1">
      <alignment/>
    </xf>
    <xf numFmtId="43" fontId="5" fillId="38" borderId="46" xfId="53" applyFont="1" applyFill="1" applyBorder="1" applyAlignment="1">
      <alignment/>
    </xf>
    <xf numFmtId="43" fontId="5" fillId="38" borderId="45" xfId="53" applyFont="1" applyFill="1" applyBorder="1" applyAlignment="1">
      <alignment/>
    </xf>
    <xf numFmtId="43" fontId="5" fillId="38" borderId="47" xfId="53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right"/>
    </xf>
    <xf numFmtId="43" fontId="0" fillId="36" borderId="0" xfId="53" applyFill="1" applyAlignment="1">
      <alignment/>
    </xf>
    <xf numFmtId="0" fontId="0" fillId="38" borderId="28" xfId="0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43" fontId="0" fillId="36" borderId="31" xfId="53" applyFont="1" applyFill="1" applyBorder="1" applyAlignment="1">
      <alignment horizontal="center"/>
    </xf>
    <xf numFmtId="0" fontId="11" fillId="44" borderId="29" xfId="0" applyFont="1" applyFill="1" applyBorder="1" applyAlignment="1">
      <alignment/>
    </xf>
    <xf numFmtId="0" fontId="11" fillId="44" borderId="27" xfId="0" applyFont="1" applyFill="1" applyBorder="1" applyAlignment="1">
      <alignment/>
    </xf>
    <xf numFmtId="0" fontId="11" fillId="44" borderId="28" xfId="0" applyFont="1" applyFill="1" applyBorder="1" applyAlignment="1">
      <alignment/>
    </xf>
    <xf numFmtId="0" fontId="21" fillId="38" borderId="31" xfId="0" applyFont="1" applyFill="1" applyBorder="1" applyAlignment="1">
      <alignment/>
    </xf>
    <xf numFmtId="43" fontId="21" fillId="38" borderId="31" xfId="53" applyFont="1" applyFill="1" applyBorder="1" applyAlignment="1">
      <alignment/>
    </xf>
    <xf numFmtId="172" fontId="21" fillId="38" borderId="31" xfId="53" applyNumberFormat="1" applyFont="1" applyFill="1" applyBorder="1" applyAlignment="1">
      <alignment/>
    </xf>
    <xf numFmtId="0" fontId="33" fillId="45" borderId="31" xfId="0" applyFont="1" applyFill="1" applyBorder="1" applyAlignment="1">
      <alignment horizontal="center"/>
    </xf>
    <xf numFmtId="4" fontId="21" fillId="38" borderId="31" xfId="0" applyNumberFormat="1" applyFont="1" applyFill="1" applyBorder="1" applyAlignment="1">
      <alignment horizontal="center"/>
    </xf>
    <xf numFmtId="0" fontId="21" fillId="38" borderId="31" xfId="0" applyFont="1" applyFill="1" applyBorder="1" applyAlignment="1">
      <alignment horizontal="center"/>
    </xf>
    <xf numFmtId="0" fontId="5" fillId="0" borderId="0" xfId="0" applyFont="1" applyAlignment="1">
      <alignment/>
    </xf>
    <xf numFmtId="43" fontId="0" fillId="33" borderId="40" xfId="53" applyNumberFormat="1" applyFont="1" applyFill="1" applyBorder="1" applyAlignment="1">
      <alignment/>
    </xf>
    <xf numFmtId="43" fontId="0" fillId="33" borderId="0" xfId="53" applyFont="1" applyFill="1" applyBorder="1" applyAlignment="1">
      <alignment/>
    </xf>
    <xf numFmtId="9" fontId="0" fillId="33" borderId="41" xfId="51" applyFont="1" applyFill="1" applyBorder="1" applyAlignment="1">
      <alignment/>
    </xf>
    <xf numFmtId="175" fontId="0" fillId="33" borderId="40" xfId="53" applyNumberFormat="1" applyFont="1" applyFill="1" applyBorder="1" applyAlignment="1">
      <alignment/>
    </xf>
    <xf numFmtId="43" fontId="0" fillId="38" borderId="31" xfId="53" applyFont="1" applyFill="1" applyBorder="1" applyAlignment="1">
      <alignment/>
    </xf>
    <xf numFmtId="43" fontId="8" fillId="38" borderId="31" xfId="53" applyFont="1" applyFill="1" applyBorder="1" applyAlignment="1">
      <alignment/>
    </xf>
    <xf numFmtId="3" fontId="0" fillId="38" borderId="31" xfId="0" applyNumberFormat="1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8" borderId="50" xfId="0" applyFill="1" applyBorder="1" applyAlignment="1">
      <alignment horizontal="center"/>
    </xf>
    <xf numFmtId="0" fontId="0" fillId="36" borderId="13" xfId="0" applyFill="1" applyBorder="1" applyAlignment="1">
      <alignment/>
    </xf>
    <xf numFmtId="9" fontId="0" fillId="38" borderId="51" xfId="0" applyNumberFormat="1" applyFill="1" applyBorder="1" applyAlignment="1">
      <alignment horizontal="center"/>
    </xf>
    <xf numFmtId="9" fontId="0" fillId="38" borderId="50" xfId="0" applyNumberFormat="1" applyFill="1" applyBorder="1" applyAlignment="1">
      <alignment horizontal="center"/>
    </xf>
    <xf numFmtId="43" fontId="0" fillId="38" borderId="50" xfId="53" applyFill="1" applyBorder="1" applyAlignment="1">
      <alignment horizontal="center"/>
    </xf>
    <xf numFmtId="43" fontId="0" fillId="38" borderId="52" xfId="53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10" fontId="0" fillId="0" borderId="0" xfId="51" applyNumberFormat="1" applyFont="1" applyFill="1" applyBorder="1" applyAlignment="1">
      <alignment/>
    </xf>
    <xf numFmtId="0" fontId="0" fillId="36" borderId="24" xfId="0" applyFill="1" applyBorder="1" applyAlignment="1">
      <alignment/>
    </xf>
    <xf numFmtId="0" fontId="17" fillId="33" borderId="30" xfId="0" applyFont="1" applyFill="1" applyBorder="1" applyAlignment="1">
      <alignment/>
    </xf>
    <xf numFmtId="43" fontId="0" fillId="36" borderId="53" xfId="53" applyFill="1" applyBorder="1" applyAlignment="1">
      <alignment/>
    </xf>
    <xf numFmtId="43" fontId="0" fillId="36" borderId="54" xfId="53" applyFill="1" applyBorder="1" applyAlignment="1">
      <alignment/>
    </xf>
    <xf numFmtId="43" fontId="0" fillId="36" borderId="55" xfId="53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58" xfId="0" applyFill="1" applyBorder="1" applyAlignment="1">
      <alignment/>
    </xf>
    <xf numFmtId="43" fontId="17" fillId="33" borderId="28" xfId="0" applyNumberFormat="1" applyFont="1" applyFill="1" applyBorder="1" applyAlignment="1">
      <alignment/>
    </xf>
    <xf numFmtId="43" fontId="0" fillId="38" borderId="26" xfId="53" applyFont="1" applyFill="1" applyBorder="1" applyAlignment="1">
      <alignment/>
    </xf>
    <xf numFmtId="43" fontId="0" fillId="38" borderId="17" xfId="53" applyFill="1" applyBorder="1" applyAlignment="1">
      <alignment/>
    </xf>
    <xf numFmtId="0" fontId="0" fillId="38" borderId="22" xfId="0" applyFill="1" applyBorder="1" applyAlignment="1">
      <alignment/>
    </xf>
    <xf numFmtId="0" fontId="16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43" fontId="16" fillId="0" borderId="0" xfId="0" applyNumberFormat="1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25" fillId="33" borderId="27" xfId="0" applyFont="1" applyFill="1" applyBorder="1" applyAlignment="1">
      <alignment horizontal="center" vertical="center"/>
    </xf>
    <xf numFmtId="0" fontId="19" fillId="33" borderId="27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/>
      <protection locked="0"/>
    </xf>
    <xf numFmtId="0" fontId="20" fillId="38" borderId="24" xfId="0" applyFont="1" applyFill="1" applyBorder="1" applyAlignment="1" applyProtection="1">
      <alignment horizontal="center"/>
      <protection locked="0"/>
    </xf>
    <xf numFmtId="0" fontId="22" fillId="38" borderId="59" xfId="0" applyFont="1" applyFill="1" applyBorder="1" applyAlignment="1" applyProtection="1">
      <alignment horizontal="center"/>
      <protection locked="0"/>
    </xf>
    <xf numFmtId="177" fontId="22" fillId="38" borderId="25" xfId="51" applyNumberFormat="1" applyFont="1" applyFill="1" applyBorder="1" applyAlignment="1" applyProtection="1">
      <alignment horizontal="center"/>
      <protection locked="0"/>
    </xf>
    <xf numFmtId="43" fontId="22" fillId="38" borderId="25" xfId="53" applyFont="1" applyFill="1" applyBorder="1" applyAlignment="1" applyProtection="1">
      <alignment horizontal="center"/>
      <protection locked="0"/>
    </xf>
    <xf numFmtId="43" fontId="22" fillId="38" borderId="25" xfId="53" applyNumberFormat="1" applyFont="1" applyFill="1" applyBorder="1" applyAlignment="1" applyProtection="1">
      <alignment horizontal="center"/>
      <protection locked="0"/>
    </xf>
    <xf numFmtId="0" fontId="22" fillId="38" borderId="26" xfId="0" applyFont="1" applyFill="1" applyBorder="1" applyAlignment="1" applyProtection="1">
      <alignment horizontal="center"/>
      <protection locked="0"/>
    </xf>
    <xf numFmtId="170" fontId="1" fillId="38" borderId="60" xfId="51" applyNumberFormat="1" applyFont="1" applyFill="1" applyBorder="1" applyAlignment="1" applyProtection="1">
      <alignment horizontal="center"/>
      <protection locked="0"/>
    </xf>
    <xf numFmtId="0" fontId="1" fillId="38" borderId="36" xfId="0" applyFont="1" applyFill="1" applyBorder="1" applyAlignment="1" applyProtection="1">
      <alignment horizontal="center"/>
      <protection locked="0"/>
    </xf>
    <xf numFmtId="170" fontId="1" fillId="38" borderId="36" xfId="51" applyNumberFormat="1" applyFont="1" applyFill="1" applyBorder="1" applyAlignment="1" applyProtection="1">
      <alignment horizontal="center"/>
      <protection locked="0"/>
    </xf>
    <xf numFmtId="0" fontId="1" fillId="38" borderId="61" xfId="0" applyFont="1" applyFill="1" applyBorder="1" applyAlignment="1" applyProtection="1">
      <alignment horizontal="center"/>
      <protection locked="0"/>
    </xf>
    <xf numFmtId="14" fontId="1" fillId="38" borderId="60" xfId="51" applyNumberFormat="1" applyFont="1" applyFill="1" applyBorder="1" applyAlignment="1" applyProtection="1">
      <alignment horizontal="center"/>
      <protection locked="0"/>
    </xf>
    <xf numFmtId="14" fontId="1" fillId="38" borderId="36" xfId="0" applyNumberFormat="1" applyFont="1" applyFill="1" applyBorder="1" applyAlignment="1" applyProtection="1">
      <alignment horizontal="center"/>
      <protection locked="0"/>
    </xf>
    <xf numFmtId="175" fontId="1" fillId="38" borderId="61" xfId="53" applyNumberFormat="1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28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  <xf numFmtId="14" fontId="1" fillId="33" borderId="62" xfId="53" applyNumberFormat="1" applyFont="1" applyFill="1" applyBorder="1" applyAlignment="1">
      <alignment horizontal="center"/>
    </xf>
    <xf numFmtId="14" fontId="1" fillId="33" borderId="32" xfId="0" applyNumberFormat="1" applyFont="1" applyFill="1" applyBorder="1" applyAlignment="1">
      <alignment horizontal="center"/>
    </xf>
    <xf numFmtId="0" fontId="1" fillId="33" borderId="32" xfId="53" applyNumberFormat="1" applyFont="1" applyFill="1" applyBorder="1" applyAlignment="1">
      <alignment horizontal="center"/>
    </xf>
    <xf numFmtId="0" fontId="1" fillId="33" borderId="63" xfId="0" applyNumberFormat="1" applyFont="1" applyFill="1" applyBorder="1" applyAlignment="1">
      <alignment horizontal="center"/>
    </xf>
    <xf numFmtId="10" fontId="1" fillId="33" borderId="14" xfId="51" applyNumberFormat="1" applyFont="1" applyFill="1" applyBorder="1" applyAlignment="1" applyProtection="1">
      <alignment horizontal="center"/>
      <protection hidden="1"/>
    </xf>
    <xf numFmtId="0" fontId="1" fillId="33" borderId="52" xfId="0" applyFont="1" applyFill="1" applyBorder="1" applyAlignment="1" applyProtection="1">
      <alignment horizontal="center"/>
      <protection hidden="1"/>
    </xf>
    <xf numFmtId="2" fontId="23" fillId="33" borderId="64" xfId="0" applyNumberFormat="1" applyFont="1" applyFill="1" applyBorder="1" applyAlignment="1" applyProtection="1">
      <alignment horizontal="center"/>
      <protection hidden="1"/>
    </xf>
    <xf numFmtId="2" fontId="22" fillId="33" borderId="65" xfId="0" applyNumberFormat="1" applyFont="1" applyFill="1" applyBorder="1" applyAlignment="1" applyProtection="1">
      <alignment horizontal="center"/>
      <protection hidden="1"/>
    </xf>
    <xf numFmtId="10" fontId="22" fillId="33" borderId="66" xfId="51" applyNumberFormat="1" applyFont="1" applyFill="1" applyBorder="1" applyAlignment="1" applyProtection="1">
      <alignment horizontal="center"/>
      <protection hidden="1"/>
    </xf>
    <xf numFmtId="43" fontId="22" fillId="33" borderId="67" xfId="53" applyFont="1" applyFill="1" applyBorder="1" applyAlignment="1" applyProtection="1">
      <alignment horizontal="center"/>
      <protection hidden="1"/>
    </xf>
    <xf numFmtId="0" fontId="22" fillId="33" borderId="68" xfId="0" applyFont="1" applyFill="1" applyBorder="1" applyAlignment="1" applyProtection="1">
      <alignment horizontal="center"/>
      <protection hidden="1"/>
    </xf>
    <xf numFmtId="14" fontId="1" fillId="38" borderId="48" xfId="0" applyNumberFormat="1" applyFont="1" applyFill="1" applyBorder="1" applyAlignment="1" applyProtection="1">
      <alignment/>
      <protection locked="0"/>
    </xf>
    <xf numFmtId="14" fontId="1" fillId="38" borderId="69" xfId="0" applyNumberFormat="1" applyFont="1" applyFill="1" applyBorder="1" applyAlignment="1" applyProtection="1">
      <alignment/>
      <protection locked="0"/>
    </xf>
    <xf numFmtId="0" fontId="1" fillId="38" borderId="69" xfId="0" applyFont="1" applyFill="1" applyBorder="1" applyAlignment="1" applyProtection="1">
      <alignment/>
      <protection locked="0"/>
    </xf>
    <xf numFmtId="0" fontId="1" fillId="38" borderId="51" xfId="0" applyFont="1" applyFill="1" applyBorder="1" applyAlignment="1" applyProtection="1">
      <alignment/>
      <protection locked="0"/>
    </xf>
    <xf numFmtId="14" fontId="1" fillId="38" borderId="49" xfId="0" applyNumberFormat="1" applyFont="1" applyFill="1" applyBorder="1" applyAlignment="1" applyProtection="1">
      <alignment/>
      <protection locked="0"/>
    </xf>
    <xf numFmtId="14" fontId="1" fillId="38" borderId="31" xfId="0" applyNumberFormat="1" applyFont="1" applyFill="1" applyBorder="1" applyAlignment="1" applyProtection="1">
      <alignment/>
      <protection locked="0"/>
    </xf>
    <xf numFmtId="0" fontId="1" fillId="38" borderId="31" xfId="0" applyFont="1" applyFill="1" applyBorder="1" applyAlignment="1" applyProtection="1">
      <alignment/>
      <protection locked="0"/>
    </xf>
    <xf numFmtId="0" fontId="1" fillId="38" borderId="50" xfId="0" applyFont="1" applyFill="1" applyBorder="1" applyAlignment="1" applyProtection="1">
      <alignment/>
      <protection locked="0"/>
    </xf>
    <xf numFmtId="0" fontId="1" fillId="38" borderId="49" xfId="0" applyFont="1" applyFill="1" applyBorder="1" applyAlignment="1" applyProtection="1">
      <alignment/>
      <protection locked="0"/>
    </xf>
    <xf numFmtId="0" fontId="1" fillId="38" borderId="13" xfId="0" applyFont="1" applyFill="1" applyBorder="1" applyAlignment="1" applyProtection="1">
      <alignment/>
      <protection locked="0"/>
    </xf>
    <xf numFmtId="0" fontId="1" fillId="38" borderId="14" xfId="0" applyFont="1" applyFill="1" applyBorder="1" applyAlignment="1" applyProtection="1">
      <alignment/>
      <protection locked="0"/>
    </xf>
    <xf numFmtId="0" fontId="1" fillId="38" borderId="52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hidden="1"/>
    </xf>
    <xf numFmtId="0" fontId="54" fillId="41" borderId="46" xfId="0" applyFont="1" applyFill="1" applyBorder="1" applyAlignment="1">
      <alignment horizontal="center"/>
    </xf>
    <xf numFmtId="43" fontId="54" fillId="41" borderId="47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172" fontId="33" fillId="36" borderId="31" xfId="53" applyNumberFormat="1" applyFont="1" applyFill="1" applyBorder="1" applyAlignment="1">
      <alignment/>
    </xf>
    <xf numFmtId="0" fontId="16" fillId="36" borderId="29" xfId="0" applyFont="1" applyFill="1" applyBorder="1" applyAlignment="1">
      <alignment/>
    </xf>
    <xf numFmtId="0" fontId="16" fillId="36" borderId="27" xfId="0" applyFont="1" applyFill="1" applyBorder="1" applyAlignment="1">
      <alignment/>
    </xf>
    <xf numFmtId="0" fontId="16" fillId="36" borderId="28" xfId="0" applyFont="1" applyFill="1" applyBorder="1" applyAlignment="1">
      <alignment/>
    </xf>
    <xf numFmtId="0" fontId="16" fillId="36" borderId="30" xfId="0" applyFont="1" applyFill="1" applyBorder="1" applyAlignment="1">
      <alignment/>
    </xf>
    <xf numFmtId="39" fontId="16" fillId="36" borderId="30" xfId="0" applyNumberFormat="1" applyFont="1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72" xfId="0" applyFill="1" applyBorder="1" applyAlignment="1">
      <alignment/>
    </xf>
    <xf numFmtId="39" fontId="0" fillId="36" borderId="73" xfId="0" applyNumberForma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39" fontId="0" fillId="36" borderId="30" xfId="0" applyNumberFormat="1" applyFill="1" applyBorder="1" applyAlignment="1">
      <alignment/>
    </xf>
    <xf numFmtId="0" fontId="0" fillId="36" borderId="74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76" xfId="0" applyFill="1" applyBorder="1" applyAlignment="1">
      <alignment/>
    </xf>
    <xf numFmtId="39" fontId="0" fillId="36" borderId="77" xfId="0" applyNumberFormat="1" applyFill="1" applyBorder="1" applyAlignment="1">
      <alignment/>
    </xf>
    <xf numFmtId="39" fontId="0" fillId="36" borderId="45" xfId="0" applyNumberFormat="1" applyFill="1" applyBorder="1" applyAlignment="1">
      <alignment/>
    </xf>
    <xf numFmtId="39" fontId="0" fillId="36" borderId="78" xfId="0" applyNumberFormat="1" applyFill="1" applyBorder="1" applyAlignment="1">
      <alignment/>
    </xf>
    <xf numFmtId="0" fontId="0" fillId="36" borderId="79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80" xfId="0" applyFill="1" applyBorder="1" applyAlignment="1">
      <alignment/>
    </xf>
    <xf numFmtId="0" fontId="0" fillId="36" borderId="81" xfId="0" applyFill="1" applyBorder="1" applyAlignment="1">
      <alignment/>
    </xf>
    <xf numFmtId="0" fontId="0" fillId="36" borderId="82" xfId="0" applyFill="1" applyBorder="1" applyAlignment="1">
      <alignment/>
    </xf>
    <xf numFmtId="43" fontId="5" fillId="38" borderId="30" xfId="53" applyFont="1" applyFill="1" applyBorder="1" applyAlignment="1">
      <alignment/>
    </xf>
    <xf numFmtId="2" fontId="5" fillId="33" borderId="30" xfId="53" applyNumberFormat="1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9" fontId="0" fillId="36" borderId="14" xfId="51" applyFont="1" applyFill="1" applyBorder="1" applyAlignment="1">
      <alignment/>
    </xf>
    <xf numFmtId="9" fontId="0" fillId="36" borderId="52" xfId="51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43" fontId="0" fillId="36" borderId="69" xfId="53" applyFont="1" applyFill="1" applyBorder="1" applyAlignment="1">
      <alignment/>
    </xf>
    <xf numFmtId="43" fontId="0" fillId="36" borderId="51" xfId="53" applyFont="1" applyFill="1" applyBorder="1" applyAlignment="1">
      <alignment/>
    </xf>
    <xf numFmtId="39" fontId="0" fillId="36" borderId="31" xfId="0" applyNumberFormat="1" applyFill="1" applyBorder="1" applyAlignment="1">
      <alignment/>
    </xf>
    <xf numFmtId="39" fontId="0" fillId="36" borderId="50" xfId="0" applyNumberFormat="1" applyFill="1" applyBorder="1" applyAlignment="1">
      <alignment/>
    </xf>
    <xf numFmtId="39" fontId="0" fillId="36" borderId="14" xfId="0" applyNumberFormat="1" applyFill="1" applyBorder="1" applyAlignment="1">
      <alignment/>
    </xf>
    <xf numFmtId="39" fontId="0" fillId="36" borderId="52" xfId="0" applyNumberFormat="1" applyFill="1" applyBorder="1" applyAlignment="1">
      <alignment/>
    </xf>
    <xf numFmtId="39" fontId="0" fillId="36" borderId="36" xfId="0" applyNumberFormat="1" applyFill="1" applyBorder="1" applyAlignment="1">
      <alignment/>
    </xf>
    <xf numFmtId="39" fontId="0" fillId="36" borderId="61" xfId="0" applyNumberFormat="1" applyFill="1" applyBorder="1" applyAlignment="1">
      <alignment/>
    </xf>
    <xf numFmtId="43" fontId="0" fillId="36" borderId="26" xfId="53" applyFont="1" applyFill="1" applyBorder="1" applyAlignment="1">
      <alignment/>
    </xf>
    <xf numFmtId="43" fontId="0" fillId="38" borderId="25" xfId="53" applyFont="1" applyFill="1" applyBorder="1" applyAlignment="1">
      <alignment/>
    </xf>
    <xf numFmtId="43" fontId="0" fillId="38" borderId="35" xfId="53" applyFill="1" applyBorder="1" applyAlignment="1" applyProtection="1">
      <alignment/>
      <protection locked="0"/>
    </xf>
    <xf numFmtId="0" fontId="5" fillId="33" borderId="46" xfId="0" applyFont="1" applyFill="1" applyBorder="1" applyAlignment="1">
      <alignment horizontal="center"/>
    </xf>
    <xf numFmtId="0" fontId="5" fillId="33" borderId="83" xfId="0" applyFon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5" fillId="45" borderId="43" xfId="0" applyFont="1" applyFill="1" applyBorder="1" applyAlignment="1">
      <alignment horizontal="center"/>
    </xf>
    <xf numFmtId="0" fontId="5" fillId="45" borderId="84" xfId="0" applyFont="1" applyFill="1" applyBorder="1" applyAlignment="1">
      <alignment horizontal="center"/>
    </xf>
    <xf numFmtId="43" fontId="0" fillId="38" borderId="54" xfId="53" applyFill="1" applyBorder="1" applyAlignment="1" applyProtection="1">
      <alignment/>
      <protection locked="0"/>
    </xf>
    <xf numFmtId="43" fontId="0" fillId="38" borderId="85" xfId="53" applyFill="1" applyBorder="1" applyAlignment="1" applyProtection="1">
      <alignment/>
      <protection locked="0"/>
    </xf>
    <xf numFmtId="43" fontId="0" fillId="38" borderId="55" xfId="53" applyFill="1" applyBorder="1" applyAlignment="1" applyProtection="1">
      <alignment/>
      <protection locked="0"/>
    </xf>
    <xf numFmtId="170" fontId="11" fillId="46" borderId="43" xfId="0" applyNumberFormat="1" applyFont="1" applyFill="1" applyBorder="1" applyAlignment="1">
      <alignment horizontal="center"/>
    </xf>
    <xf numFmtId="170" fontId="11" fillId="46" borderId="84" xfId="0" applyNumberFormat="1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16" fillId="33" borderId="25" xfId="0" applyFont="1" applyFill="1" applyBorder="1" applyAlignment="1" applyProtection="1">
      <alignment horizontal="center"/>
      <protection hidden="1" locked="0"/>
    </xf>
    <xf numFmtId="0" fontId="16" fillId="33" borderId="26" xfId="0" applyFont="1" applyFill="1" applyBorder="1" applyAlignment="1" applyProtection="1">
      <alignment horizontal="center"/>
      <protection hidden="1" locked="0"/>
    </xf>
    <xf numFmtId="0" fontId="16" fillId="33" borderId="60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43" fontId="0" fillId="36" borderId="50" xfId="53" applyFont="1" applyFill="1" applyBorder="1" applyAlignment="1" applyProtection="1">
      <alignment horizontal="center"/>
      <protection hidden="1" locked="0"/>
    </xf>
    <xf numFmtId="43" fontId="0" fillId="36" borderId="60" xfId="53" applyFont="1" applyFill="1" applyBorder="1" applyAlignment="1">
      <alignment/>
    </xf>
    <xf numFmtId="43" fontId="0" fillId="36" borderId="36" xfId="53" applyFont="1" applyFill="1" applyBorder="1" applyAlignment="1" applyProtection="1">
      <alignment/>
      <protection hidden="1" locked="0"/>
    </xf>
    <xf numFmtId="43" fontId="0" fillId="36" borderId="61" xfId="53" applyFont="1" applyFill="1" applyBorder="1" applyAlignment="1" applyProtection="1">
      <alignment/>
      <protection hidden="1" locked="0"/>
    </xf>
    <xf numFmtId="43" fontId="0" fillId="36" borderId="49" xfId="53" applyFont="1" applyFill="1" applyBorder="1" applyAlignment="1">
      <alignment/>
    </xf>
    <xf numFmtId="43" fontId="0" fillId="36" borderId="31" xfId="53" applyFont="1" applyFill="1" applyBorder="1" applyAlignment="1" applyProtection="1">
      <alignment/>
      <protection hidden="1" locked="0"/>
    </xf>
    <xf numFmtId="43" fontId="0" fillId="36" borderId="31" xfId="53" applyFont="1" applyFill="1" applyBorder="1" applyAlignment="1" applyProtection="1">
      <alignment horizontal="center"/>
      <protection hidden="1" locked="0"/>
    </xf>
    <xf numFmtId="9" fontId="0" fillId="36" borderId="14" xfId="51" applyFont="1" applyFill="1" applyBorder="1" applyAlignment="1" applyProtection="1">
      <alignment horizontal="center"/>
      <protection hidden="1" locked="0"/>
    </xf>
    <xf numFmtId="9" fontId="0" fillId="36" borderId="52" xfId="51" applyFont="1" applyFill="1" applyBorder="1" applyAlignment="1" applyProtection="1">
      <alignment horizontal="center"/>
      <protection hidden="1" locked="0"/>
    </xf>
    <xf numFmtId="9" fontId="0" fillId="36" borderId="13" xfId="51" applyFont="1" applyFill="1" applyBorder="1" applyAlignment="1">
      <alignment horizontal="center"/>
    </xf>
    <xf numFmtId="0" fontId="0" fillId="40" borderId="36" xfId="0" applyFont="1" applyFill="1" applyBorder="1" applyAlignment="1">
      <alignment horizontal="justify" vertical="top" wrapText="1"/>
    </xf>
    <xf numFmtId="0" fontId="0" fillId="40" borderId="43" xfId="0" applyFont="1" applyFill="1" applyBorder="1" applyAlignment="1">
      <alignment horizontal="justify" vertical="top" wrapText="1"/>
    </xf>
    <xf numFmtId="0" fontId="16" fillId="33" borderId="31" xfId="0" applyFont="1" applyFill="1" applyBorder="1" applyAlignment="1">
      <alignment horizontal="center" vertical="top" wrapText="1"/>
    </xf>
    <xf numFmtId="0" fontId="16" fillId="33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justify" vertical="top" wrapText="1"/>
    </xf>
    <xf numFmtId="0" fontId="0" fillId="36" borderId="43" xfId="0" applyFont="1" applyFill="1" applyBorder="1" applyAlignment="1">
      <alignment horizontal="justify" vertical="top" wrapText="1"/>
    </xf>
    <xf numFmtId="175" fontId="0" fillId="0" borderId="0" xfId="0" applyNumberFormat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0" fontId="16" fillId="36" borderId="4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/>
    </xf>
    <xf numFmtId="0" fontId="16" fillId="36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6" fillId="38" borderId="29" xfId="0" applyFont="1" applyFill="1" applyBorder="1" applyAlignment="1">
      <alignment/>
    </xf>
    <xf numFmtId="0" fontId="16" fillId="38" borderId="28" xfId="0" applyFont="1" applyFill="1" applyBorder="1" applyAlignment="1">
      <alignment/>
    </xf>
    <xf numFmtId="0" fontId="0" fillId="36" borderId="86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87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88" xfId="0" applyFill="1" applyBorder="1" applyAlignment="1">
      <alignment/>
    </xf>
    <xf numFmtId="0" fontId="0" fillId="36" borderId="89" xfId="0" applyFill="1" applyBorder="1" applyAlignment="1">
      <alignment/>
    </xf>
    <xf numFmtId="0" fontId="0" fillId="36" borderId="85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16" fillId="38" borderId="15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1" fillId="47" borderId="15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33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4" fillId="47" borderId="29" xfId="0" applyFont="1" applyFill="1" applyBorder="1" applyAlignment="1">
      <alignment horizontal="center"/>
    </xf>
    <xf numFmtId="0" fontId="14" fillId="47" borderId="27" xfId="0" applyFont="1" applyFill="1" applyBorder="1" applyAlignment="1">
      <alignment horizontal="center"/>
    </xf>
    <xf numFmtId="0" fontId="14" fillId="47" borderId="28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">
    <dxf>
      <font>
        <color indexed="13"/>
      </font>
      <fill>
        <patternFill>
          <bgColor indexed="16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15"/>
          <c:w val="0.9785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'Materiais diretos'!$C$29</c:f>
              <c:strCache>
                <c:ptCount val="1"/>
                <c:pt idx="0">
                  <c:v>Cte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'Materiais diretos'!$B$30:$B$43</c:f>
              <c:numCache/>
            </c:numRef>
          </c:xVal>
          <c:yVal>
            <c:numRef>
              <c:f>'Materiais diretos'!$C$30:$C$43</c:f>
              <c:numCache/>
            </c:numRef>
          </c:yVal>
          <c:smooth val="1"/>
        </c:ser>
        <c:ser>
          <c:idx val="1"/>
          <c:order val="1"/>
          <c:tx>
            <c:strRef>
              <c:f>'Materiais diretos'!$D$29</c:f>
              <c:strCache>
                <c:ptCount val="1"/>
                <c:pt idx="0">
                  <c:v>Ctp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'Materiais diretos'!$B$30:$B$43</c:f>
              <c:numCache/>
            </c:numRef>
          </c:xVal>
          <c:yVal>
            <c:numRef>
              <c:f>'Materiais diretos'!$D$30:$D$43</c:f>
              <c:numCache/>
            </c:numRef>
          </c:yVal>
          <c:smooth val="1"/>
        </c:ser>
        <c:ser>
          <c:idx val="2"/>
          <c:order val="2"/>
          <c:tx>
            <c:strRef>
              <c:f>'Materiais diretos'!$E$29</c:f>
              <c:strCache>
                <c:ptCount val="1"/>
                <c:pt idx="0">
                  <c:v>CT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'Materiais diretos'!$B$30:$B$43</c:f>
              <c:numCache/>
            </c:numRef>
          </c:xVal>
          <c:yVal>
            <c:numRef>
              <c:f>'Materiais diretos'!$E$30:$E$43</c:f>
              <c:numCache/>
            </c:numRef>
          </c:yVal>
          <c:smooth val="1"/>
        </c:ser>
        <c:axId val="4291618"/>
        <c:axId val="44852659"/>
      </c:scatterChart>
      <c:valAx>
        <c:axId val="429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52659"/>
        <c:crosses val="autoZero"/>
        <c:crossBetween val="midCat"/>
        <c:dispUnits/>
      </c:valAx>
      <c:valAx>
        <c:axId val="44852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5"/>
          <c:y val="0.112"/>
          <c:w val="0.4925"/>
          <c:h val="0.1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de estoque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875"/>
          <c:w val="0.9375"/>
          <c:h val="0.7405"/>
        </c:manualLayout>
      </c:layout>
      <c:scatterChart>
        <c:scatterStyle val="line"/>
        <c:varyColors val="0"/>
        <c:ser>
          <c:idx val="0"/>
          <c:order val="0"/>
          <c:tx>
            <c:strRef>
              <c:f>'Materiais diretos'!$G$88</c:f>
              <c:strCache>
                <c:ptCount val="1"/>
                <c:pt idx="0">
                  <c:v>Estoque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'Materiais diretos'!$B$89:$B$109</c:f>
              <c:numCache/>
            </c:numRef>
          </c:xVal>
          <c:yVal>
            <c:numRef>
              <c:f>'Materiais diretos'!$G$89:$G$109</c:f>
              <c:numCache/>
            </c:numRef>
          </c:yVal>
          <c:smooth val="0"/>
        </c:ser>
        <c:axId val="53018636"/>
        <c:axId val="45155181"/>
      </c:scatterChart>
      <c:valAx>
        <c:axId val="53018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5181"/>
        <c:crosses val="autoZero"/>
        <c:crossBetween val="midCat"/>
        <c:dispUnits/>
      </c:valAx>
      <c:valAx>
        <c:axId val="4515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1863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91"/>
          <c:w val="0.9592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'Ponto de Equilíbrio'!$C$26</c:f>
              <c:strCache>
                <c:ptCount val="1"/>
                <c:pt idx="0">
                  <c:v>GF</c:v>
                </c:pt>
              </c:strCache>
            </c:strRef>
          </c:tx>
          <c:spPr>
            <a:ln w="381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'Ponto de Equilíbrio'!$B$27:$B$47</c:f>
              <c:numCache/>
            </c:numRef>
          </c:xVal>
          <c:yVal>
            <c:numRef>
              <c:f>'Ponto de Equilíbrio'!$C$27:$C$47</c:f>
              <c:numCache/>
            </c:numRef>
          </c:yVal>
          <c:smooth val="0"/>
        </c:ser>
        <c:ser>
          <c:idx val="1"/>
          <c:order val="1"/>
          <c:tx>
            <c:strRef>
              <c:f>'Ponto de Equilíbrio'!$D$26</c:f>
              <c:strCache>
                <c:ptCount val="1"/>
                <c:pt idx="0">
                  <c:v>GV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'Ponto de Equilíbrio'!$B$27:$B$47</c:f>
              <c:numCache/>
            </c:numRef>
          </c:xVal>
          <c:yVal>
            <c:numRef>
              <c:f>'Ponto de Equilíbrio'!$D$27:$D$47</c:f>
              <c:numCache/>
            </c:numRef>
          </c:yVal>
          <c:smooth val="0"/>
        </c:ser>
        <c:ser>
          <c:idx val="2"/>
          <c:order val="2"/>
          <c:tx>
            <c:strRef>
              <c:f>'Ponto de Equilíbrio'!$E$26</c:f>
              <c:strCache>
                <c:ptCount val="1"/>
                <c:pt idx="0">
                  <c:v>GT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'Ponto de Equilíbrio'!$B$27:$B$47</c:f>
              <c:numCache/>
            </c:numRef>
          </c:xVal>
          <c:yVal>
            <c:numRef>
              <c:f>'Ponto de Equilíbrio'!$E$27:$E$47</c:f>
              <c:numCache/>
            </c:numRef>
          </c:yVal>
          <c:smooth val="0"/>
        </c:ser>
        <c:ser>
          <c:idx val="3"/>
          <c:order val="3"/>
          <c:tx>
            <c:strRef>
              <c:f>'Ponto de Equilíbrio'!$F$26</c:f>
              <c:strCache>
                <c:ptCount val="1"/>
                <c:pt idx="0">
                  <c:v>Receita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'Ponto de Equilíbrio'!$B$27:$B$47</c:f>
              <c:numCache/>
            </c:numRef>
          </c:xVal>
          <c:yVal>
            <c:numRef>
              <c:f>'Ponto de Equilíbrio'!$F$27:$F$47</c:f>
              <c:numCache/>
            </c:numRef>
          </c:yVal>
          <c:smooth val="0"/>
        </c:ser>
        <c:axId val="7993878"/>
        <c:axId val="46682183"/>
      </c:scatterChart>
      <c:valAx>
        <c:axId val="79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82183"/>
        <c:crosses val="autoZero"/>
        <c:crossBetween val="midCat"/>
        <c:dispUnits/>
      </c:valAx>
      <c:valAx>
        <c:axId val="46682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9387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"/>
          <c:w val="0.779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Diagrama de Dispersão
</a:t>
            </a:r>
            <a:r>
              <a:rPr lang="en-US" cap="none" sz="800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Modelo Linear</a:t>
            </a:r>
          </a:p>
        </c:rich>
      </c:tx>
      <c:layout>
        <c:manualLayout>
          <c:xMode val="factor"/>
          <c:yMode val="factor"/>
          <c:x val="0.229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6"/>
          <c:w val="0.946"/>
          <c:h val="0.7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Regressão!$C$9</c:f>
              <c:strCache>
                <c:ptCount val="1"/>
                <c:pt idx="0">
                  <c:v>Custos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Regressão!$B$10:$B$14</c:f>
              <c:numCache/>
            </c:numRef>
          </c:xVal>
          <c:yVal>
            <c:numRef>
              <c:f>Regressão!$C$10:$C$14</c:f>
              <c:numCache/>
            </c:numRef>
          </c:yVal>
          <c:smooth val="0"/>
        </c:ser>
        <c:axId val="52356160"/>
        <c:axId val="63903297"/>
      </c:scatterChart>
      <c:valAx>
        <c:axId val="52356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03297"/>
        <c:crosses val="autoZero"/>
        <c:crossBetween val="midCat"/>
        <c:dispUnits/>
      </c:valAx>
      <c:valAx>
        <c:axId val="63903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5616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Diagrama de Dispersão
</a:t>
            </a:r>
            <a:r>
              <a:rPr lang="en-US" cap="none" sz="800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Modelo Logarítmico</a:t>
            </a:r>
          </a:p>
        </c:rich>
      </c:tx>
      <c:layout>
        <c:manualLayout>
          <c:xMode val="factor"/>
          <c:yMode val="factor"/>
          <c:x val="0.2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6"/>
          <c:w val="0.946"/>
          <c:h val="0.7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Regressão!$C$9</c:f>
              <c:strCache>
                <c:ptCount val="1"/>
                <c:pt idx="0">
                  <c:v>Custos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Regressão!$B$10:$B$14</c:f>
              <c:numCache/>
            </c:numRef>
          </c:xVal>
          <c:yVal>
            <c:numRef>
              <c:f>Regressão!$C$10:$C$14</c:f>
              <c:numCache/>
            </c:numRef>
          </c:yVal>
          <c:smooth val="0"/>
        </c:ser>
        <c:axId val="34429066"/>
        <c:axId val="30293851"/>
      </c:scatterChart>
      <c:valAx>
        <c:axId val="3442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3851"/>
        <c:crosses val="autoZero"/>
        <c:crossBetween val="midCat"/>
        <c:dispUnits/>
      </c:valAx>
      <c:valAx>
        <c:axId val="30293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906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Diagrama de Dispersão
</a:t>
            </a:r>
            <a:r>
              <a:rPr lang="en-US" cap="none" sz="800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Modelo Polinomial</a:t>
            </a:r>
          </a:p>
        </c:rich>
      </c:tx>
      <c:layout>
        <c:manualLayout>
          <c:xMode val="factor"/>
          <c:yMode val="factor"/>
          <c:x val="0.26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425"/>
          <c:w val="0.946"/>
          <c:h val="0.742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Regressão!$C$9</c:f>
              <c:strCache>
                <c:ptCount val="1"/>
                <c:pt idx="0">
                  <c:v>Custos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Regressão!$B$10:$B$14</c:f>
              <c:numCache/>
            </c:numRef>
          </c:xVal>
          <c:yVal>
            <c:numRef>
              <c:f>Regressão!$C$10:$C$14</c:f>
              <c:numCache/>
            </c:numRef>
          </c:yVal>
          <c:smooth val="0"/>
        </c:ser>
        <c:axId val="63967476"/>
        <c:axId val="39114133"/>
      </c:scatterChart>
      <c:valAx>
        <c:axId val="6396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4133"/>
        <c:crosses val="autoZero"/>
        <c:crossBetween val="midCat"/>
        <c:dispUnits/>
      </c:valAx>
      <c:valAx>
        <c:axId val="39114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747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Diagrama de Dispersão
</a:t>
            </a:r>
            <a:r>
              <a:rPr lang="en-US" cap="none" sz="800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Modelo Exponencial</a:t>
            </a:r>
          </a:p>
        </c:rich>
      </c:tx>
      <c:layout>
        <c:manualLayout>
          <c:xMode val="factor"/>
          <c:yMode val="factor"/>
          <c:x val="0.26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425"/>
          <c:w val="0.946"/>
          <c:h val="0.742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Regressão!$C$9</c:f>
              <c:strCache>
                <c:ptCount val="1"/>
                <c:pt idx="0">
                  <c:v>Custos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Regressão!$B$10:$B$14</c:f>
              <c:numCache/>
            </c:numRef>
          </c:xVal>
          <c:yVal>
            <c:numRef>
              <c:f>Regressão!$C$10:$C$14</c:f>
              <c:numCache/>
            </c:numRef>
          </c:yVal>
          <c:smooth val="0"/>
        </c:ser>
        <c:axId val="36759422"/>
        <c:axId val="66192111"/>
      </c:scatterChart>
      <c:valAx>
        <c:axId val="367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2111"/>
        <c:crosses val="autoZero"/>
        <c:crossBetween val="midCat"/>
        <c:dispUnits/>
      </c:valAx>
      <c:valAx>
        <c:axId val="6619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942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Diagrama de Dispersão
</a:t>
            </a:r>
            <a:r>
              <a:rPr lang="en-US" cap="none" sz="800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Modelo Potência</a:t>
            </a:r>
          </a:p>
        </c:rich>
      </c:tx>
      <c:layout>
        <c:manualLayout>
          <c:xMode val="factor"/>
          <c:yMode val="factor"/>
          <c:x val="0.26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425"/>
          <c:w val="0.946"/>
          <c:h val="0.742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Regressão!$C$9</c:f>
              <c:strCache>
                <c:ptCount val="1"/>
                <c:pt idx="0">
                  <c:v>Custos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Regressão!$B$10:$B$14</c:f>
              <c:numCache/>
            </c:numRef>
          </c:xVal>
          <c:yVal>
            <c:numRef>
              <c:f>Regressão!$C$10:$C$14</c:f>
              <c:numCache/>
            </c:numRef>
          </c:yVal>
          <c:smooth val="0"/>
        </c:ser>
        <c:axId val="185896"/>
        <c:axId val="13570409"/>
      </c:scatterChart>
      <c:valAx>
        <c:axId val="18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0409"/>
        <c:crosses val="autoZero"/>
        <c:crossBetween val="midCat"/>
        <c:dispUnits/>
      </c:valAx>
      <c:valAx>
        <c:axId val="13570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9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Diagrama de Dispersão
</a:t>
            </a:r>
            <a:r>
              <a:rPr lang="en-US" cap="none" sz="800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Média Móvel (3p)</a:t>
            </a:r>
          </a:p>
        </c:rich>
      </c:tx>
      <c:layout>
        <c:manualLayout>
          <c:xMode val="factor"/>
          <c:yMode val="factor"/>
          <c:x val="0.26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425"/>
          <c:w val="0.946"/>
          <c:h val="0.742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Regressão!$C$9</c:f>
              <c:strCache>
                <c:ptCount val="1"/>
                <c:pt idx="0">
                  <c:v>Custos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Regressão!$B$10:$B$14</c:f>
              <c:numCache/>
            </c:numRef>
          </c:xVal>
          <c:yVal>
            <c:numRef>
              <c:f>Regressão!$C$10:$C$14</c:f>
              <c:numCache/>
            </c:numRef>
          </c:yVal>
          <c:smooth val="0"/>
        </c:ser>
        <c:axId val="51115762"/>
        <c:axId val="40463107"/>
      </c:scatterChart>
      <c:valAx>
        <c:axId val="5111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07"/>
        <c:crosses val="autoZero"/>
        <c:crossBetween val="midCat"/>
        <c:dispUnits/>
      </c:valAx>
      <c:valAx>
        <c:axId val="40463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576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</xdr:rowOff>
    </xdr:from>
    <xdr:to>
      <xdr:col>3</xdr:col>
      <xdr:colOff>400050</xdr:colOff>
      <xdr:row>17</xdr:row>
      <xdr:rowOff>76200</xdr:rowOff>
    </xdr:to>
    <xdr:pic>
      <xdr:nvPicPr>
        <xdr:cNvPr id="1" name="Picture 6" descr="M3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20955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28</xdr:row>
      <xdr:rowOff>28575</xdr:rowOff>
    </xdr:from>
    <xdr:to>
      <xdr:col>11</xdr:col>
      <xdr:colOff>581025</xdr:colOff>
      <xdr:row>42</xdr:row>
      <xdr:rowOff>142875</xdr:rowOff>
    </xdr:to>
    <xdr:graphicFrame>
      <xdr:nvGraphicFramePr>
        <xdr:cNvPr id="1" name="Chart 2"/>
        <xdr:cNvGraphicFramePr/>
      </xdr:nvGraphicFramePr>
      <xdr:xfrm>
        <a:off x="4191000" y="5181600"/>
        <a:ext cx="45148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52</xdr:row>
      <xdr:rowOff>85725</xdr:rowOff>
    </xdr:from>
    <xdr:to>
      <xdr:col>8</xdr:col>
      <xdr:colOff>457200</xdr:colOff>
      <xdr:row>70</xdr:row>
      <xdr:rowOff>9525</xdr:rowOff>
    </xdr:to>
    <xdr:graphicFrame>
      <xdr:nvGraphicFramePr>
        <xdr:cNvPr id="2" name="Chart 9"/>
        <xdr:cNvGraphicFramePr/>
      </xdr:nvGraphicFramePr>
      <xdr:xfrm>
        <a:off x="257175" y="9296400"/>
        <a:ext cx="64960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9</xdr:row>
      <xdr:rowOff>9525</xdr:rowOff>
    </xdr:from>
    <xdr:to>
      <xdr:col>8</xdr:col>
      <xdr:colOff>457200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3124200" y="1819275"/>
        <a:ext cx="42767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19</xdr:row>
      <xdr:rowOff>47625</xdr:rowOff>
    </xdr:from>
    <xdr:to>
      <xdr:col>4</xdr:col>
      <xdr:colOff>295275</xdr:colOff>
      <xdr:row>21</xdr:row>
      <xdr:rowOff>114300</xdr:rowOff>
    </xdr:to>
    <xdr:sp>
      <xdr:nvSpPr>
        <xdr:cNvPr id="1" name="AutoShape 6"/>
        <xdr:cNvSpPr>
          <a:spLocks/>
        </xdr:cNvSpPr>
      </xdr:nvSpPr>
      <xdr:spPr>
        <a:xfrm>
          <a:off x="4848225" y="3543300"/>
          <a:ext cx="885825" cy="3905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31</xdr:row>
      <xdr:rowOff>38100</xdr:rowOff>
    </xdr:from>
    <xdr:to>
      <xdr:col>4</xdr:col>
      <xdr:colOff>323850</xdr:colOff>
      <xdr:row>33</xdr:row>
      <xdr:rowOff>95250</xdr:rowOff>
    </xdr:to>
    <xdr:sp>
      <xdr:nvSpPr>
        <xdr:cNvPr id="2" name="AutoShape 7"/>
        <xdr:cNvSpPr>
          <a:spLocks/>
        </xdr:cNvSpPr>
      </xdr:nvSpPr>
      <xdr:spPr>
        <a:xfrm>
          <a:off x="4876800" y="5505450"/>
          <a:ext cx="885825" cy="3905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76200</xdr:colOff>
      <xdr:row>11</xdr:row>
      <xdr:rowOff>28575</xdr:rowOff>
    </xdr:from>
    <xdr:to>
      <xdr:col>33</xdr:col>
      <xdr:colOff>533400</xdr:colOff>
      <xdr:row>11</xdr:row>
      <xdr:rowOff>123825</xdr:rowOff>
    </xdr:to>
    <xdr:sp>
      <xdr:nvSpPr>
        <xdr:cNvPr id="1" name="AutoShape 7"/>
        <xdr:cNvSpPr>
          <a:spLocks/>
        </xdr:cNvSpPr>
      </xdr:nvSpPr>
      <xdr:spPr>
        <a:xfrm rot="5400000">
          <a:off x="20850225" y="2543175"/>
          <a:ext cx="457200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8</xdr:row>
      <xdr:rowOff>66675</xdr:rowOff>
    </xdr:from>
    <xdr:to>
      <xdr:col>18</xdr:col>
      <xdr:colOff>0</xdr:colOff>
      <xdr:row>19</xdr:row>
      <xdr:rowOff>142875</xdr:rowOff>
    </xdr:to>
    <xdr:graphicFrame>
      <xdr:nvGraphicFramePr>
        <xdr:cNvPr id="1" name="Chart 3"/>
        <xdr:cNvGraphicFramePr/>
      </xdr:nvGraphicFramePr>
      <xdr:xfrm>
        <a:off x="8591550" y="1714500"/>
        <a:ext cx="36195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200025</xdr:colOff>
      <xdr:row>8</xdr:row>
      <xdr:rowOff>76200</xdr:rowOff>
    </xdr:from>
    <xdr:to>
      <xdr:col>24</xdr:col>
      <xdr:colOff>161925</xdr:colOff>
      <xdr:row>19</xdr:row>
      <xdr:rowOff>152400</xdr:rowOff>
    </xdr:to>
    <xdr:graphicFrame>
      <xdr:nvGraphicFramePr>
        <xdr:cNvPr id="2" name="Chart 4"/>
        <xdr:cNvGraphicFramePr/>
      </xdr:nvGraphicFramePr>
      <xdr:xfrm>
        <a:off x="12411075" y="1724025"/>
        <a:ext cx="36195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21</xdr:row>
      <xdr:rowOff>28575</xdr:rowOff>
    </xdr:from>
    <xdr:to>
      <xdr:col>18</xdr:col>
      <xdr:colOff>0</xdr:colOff>
      <xdr:row>32</xdr:row>
      <xdr:rowOff>104775</xdr:rowOff>
    </xdr:to>
    <xdr:graphicFrame>
      <xdr:nvGraphicFramePr>
        <xdr:cNvPr id="3" name="Chart 5"/>
        <xdr:cNvGraphicFramePr/>
      </xdr:nvGraphicFramePr>
      <xdr:xfrm>
        <a:off x="8591550" y="3800475"/>
        <a:ext cx="36195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219075</xdr:colOff>
      <xdr:row>21</xdr:row>
      <xdr:rowOff>28575</xdr:rowOff>
    </xdr:from>
    <xdr:to>
      <xdr:col>24</xdr:col>
      <xdr:colOff>180975</xdr:colOff>
      <xdr:row>32</xdr:row>
      <xdr:rowOff>104775</xdr:rowOff>
    </xdr:to>
    <xdr:graphicFrame>
      <xdr:nvGraphicFramePr>
        <xdr:cNvPr id="4" name="Chart 6"/>
        <xdr:cNvGraphicFramePr/>
      </xdr:nvGraphicFramePr>
      <xdr:xfrm>
        <a:off x="12430125" y="3800475"/>
        <a:ext cx="361950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66675</xdr:colOff>
      <xdr:row>33</xdr:row>
      <xdr:rowOff>104775</xdr:rowOff>
    </xdr:from>
    <xdr:to>
      <xdr:col>18</xdr:col>
      <xdr:colOff>28575</xdr:colOff>
      <xdr:row>45</xdr:row>
      <xdr:rowOff>19050</xdr:rowOff>
    </xdr:to>
    <xdr:graphicFrame>
      <xdr:nvGraphicFramePr>
        <xdr:cNvPr id="5" name="Chart 8"/>
        <xdr:cNvGraphicFramePr/>
      </xdr:nvGraphicFramePr>
      <xdr:xfrm>
        <a:off x="8620125" y="5819775"/>
        <a:ext cx="36195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247650</xdr:colOff>
      <xdr:row>33</xdr:row>
      <xdr:rowOff>104775</xdr:rowOff>
    </xdr:from>
    <xdr:to>
      <xdr:col>24</xdr:col>
      <xdr:colOff>209550</xdr:colOff>
      <xdr:row>45</xdr:row>
      <xdr:rowOff>19050</xdr:rowOff>
    </xdr:to>
    <xdr:graphicFrame>
      <xdr:nvGraphicFramePr>
        <xdr:cNvPr id="6" name="Chart 9"/>
        <xdr:cNvGraphicFramePr/>
      </xdr:nvGraphicFramePr>
      <xdr:xfrm>
        <a:off x="12458700" y="5819775"/>
        <a:ext cx="3619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uni\julho2001c\em_uso13\custos\exercus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runi\julho2001b1\Home%20Page\custos\controlado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Home%20Page\matfin\MATFIN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Livros1009\L1_matfinanc\CD_ou_disquete\MAT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Plan8"/>
      <sheetName val="estilosas"/>
      <sheetName val="Plan11"/>
      <sheetName val="Plan12"/>
      <sheetName val="Plan1 (2)"/>
      <sheetName val="Plan2 (2)"/>
      <sheetName val="Plan14"/>
      <sheetName val="Plan13"/>
      <sheetName val="PEPS (2)"/>
      <sheetName val="PEPS  (4)"/>
      <sheetName val="Plan18"/>
      <sheetName val="Bugingangas"/>
      <sheetName val="PEPS(5)"/>
      <sheetName val="PEPS (3)"/>
      <sheetName val="Plan4"/>
      <sheetName val="Plan6"/>
      <sheetName val="Plan1"/>
      <sheetName val="Plan7"/>
      <sheetName val="Plan6 (2)"/>
      <sheetName val="Plan5"/>
      <sheetName val="Plan9"/>
      <sheetName val="Plan3"/>
      <sheetName val="Plan2"/>
      <sheetName val="Plan10"/>
      <sheetName val="Alavanc"/>
      <sheetName val="Alavanc (2)"/>
      <sheetName val="Plan17"/>
      <sheetName val="Plan17 (2)"/>
      <sheetName val="Plan16"/>
      <sheetName val="Plan15"/>
      <sheetName val="Plan8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Menu"/>
      <sheetName val="JS  VF"/>
      <sheetName val="JS VP"/>
      <sheetName val="JS N"/>
      <sheetName val="JS I"/>
      <sheetName val="DB VF"/>
      <sheetName val="DB VP"/>
      <sheetName val="DB N"/>
      <sheetName val="DB I"/>
      <sheetName val="JC VF"/>
      <sheetName val="JC VP"/>
      <sheetName val="JC N"/>
      <sheetName val="JC I"/>
      <sheetName val="SÉRIE PMT"/>
      <sheetName val="SÉRIE VF"/>
      <sheetName val="SÉRIE VP"/>
      <sheetName val="SÉRIE N"/>
      <sheetName val="SÉRIE I"/>
      <sheetName val="Ser-Price"/>
      <sheetName val="Ser-Sac"/>
      <sheetName val="Não Uniforme"/>
      <sheetName val="Geral"/>
      <sheetName val="MatFinanc"/>
      <sheetName val="Autor"/>
      <sheetName val="Lixo2"/>
      <sheetName val="Lixo"/>
      <sheetName val="Lixo3"/>
    </sheetNames>
    <sheetDataSet>
      <sheetData sheetId="21">
        <row r="6">
          <cell r="C6">
            <v>0.07</v>
          </cell>
        </row>
        <row r="10">
          <cell r="C10">
            <v>-800</v>
          </cell>
        </row>
        <row r="11">
          <cell r="C11">
            <v>400</v>
          </cell>
        </row>
        <row r="12">
          <cell r="C12">
            <v>300</v>
          </cell>
        </row>
        <row r="13">
          <cell r="C13">
            <v>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Menu"/>
      <sheetName val="JS  VF"/>
      <sheetName val="JS VP"/>
      <sheetName val="JS N"/>
      <sheetName val="JS I"/>
      <sheetName val="DB VF"/>
      <sheetName val="DB VP"/>
      <sheetName val="DB N"/>
      <sheetName val="DB I"/>
      <sheetName val="JC VF"/>
      <sheetName val="JC VP"/>
      <sheetName val="JC N"/>
      <sheetName val="JC I"/>
      <sheetName val="SÉRIE PMT"/>
      <sheetName val="SÉRIE VF"/>
      <sheetName val="SÉRIE VP"/>
      <sheetName val="SÉRIE N"/>
      <sheetName val="SÉRIE I"/>
      <sheetName val="Ser-Price"/>
      <sheetName val="Ser-Sac"/>
      <sheetName val="T Desiguais"/>
      <sheetName val="Geral"/>
      <sheetName val="Continua"/>
      <sheetName val="MatFinanc"/>
      <sheetName val="Autor"/>
      <sheetName val="OutrasFunções"/>
    </sheetNames>
    <sheetDataSet>
      <sheetData sheetId="19">
        <row r="4">
          <cell r="B4" t="str">
            <v>Price - Prestações Iguais</v>
          </cell>
        </row>
        <row r="13">
          <cell r="B13">
            <v>1</v>
          </cell>
          <cell r="C13">
            <v>9991.96985198965</v>
          </cell>
          <cell r="D13">
            <v>-299.7590955596895</v>
          </cell>
          <cell r="E13">
            <v>-290.2409044403107</v>
          </cell>
          <cell r="F13">
            <v>-590.0000000000002</v>
          </cell>
          <cell r="G13">
            <v>9701.72894754934</v>
          </cell>
        </row>
        <row r="14">
          <cell r="B14">
            <v>2</v>
          </cell>
          <cell r="C14">
            <v>9701.72894754934</v>
          </cell>
          <cell r="D14">
            <v>-291.0518684264802</v>
          </cell>
          <cell r="E14">
            <v>-298.94813157352</v>
          </cell>
          <cell r="F14">
            <v>-590.0000000000002</v>
          </cell>
          <cell r="G14">
            <v>9402.78081597582</v>
          </cell>
        </row>
        <row r="15">
          <cell r="B15">
            <v>3</v>
          </cell>
          <cell r="C15">
            <v>9402.78081597582</v>
          </cell>
          <cell r="D15">
            <v>-282.0834244792746</v>
          </cell>
          <cell r="E15">
            <v>-307.91657552072564</v>
          </cell>
          <cell r="F15">
            <v>-590.0000000000002</v>
          </cell>
          <cell r="G15">
            <v>9094.864240455096</v>
          </cell>
        </row>
        <row r="16">
          <cell r="B16">
            <v>4</v>
          </cell>
          <cell r="C16">
            <v>9094.864240455096</v>
          </cell>
          <cell r="D16">
            <v>-272.8459272136529</v>
          </cell>
          <cell r="E16">
            <v>-317.15407278634734</v>
          </cell>
          <cell r="F16">
            <v>-590.0000000000002</v>
          </cell>
          <cell r="G16">
            <v>8777.710167668749</v>
          </cell>
        </row>
        <row r="17">
          <cell r="B17">
            <v>5</v>
          </cell>
          <cell r="C17">
            <v>8777.710167668749</v>
          </cell>
          <cell r="D17">
            <v>-263.3313050300625</v>
          </cell>
          <cell r="E17">
            <v>-326.66869496993775</v>
          </cell>
          <cell r="F17">
            <v>-590.0000000000002</v>
          </cell>
          <cell r="G17">
            <v>8451.041472698811</v>
          </cell>
        </row>
        <row r="18">
          <cell r="B18">
            <v>6</v>
          </cell>
          <cell r="C18">
            <v>8451.041472698811</v>
          </cell>
          <cell r="D18">
            <v>-253.53124418096434</v>
          </cell>
          <cell r="E18">
            <v>-336.4687558190359</v>
          </cell>
          <cell r="F18">
            <v>-590.0000000000002</v>
          </cell>
          <cell r="G18">
            <v>8114.572716879775</v>
          </cell>
        </row>
        <row r="19">
          <cell r="B19">
            <v>7</v>
          </cell>
          <cell r="C19">
            <v>8114.572716879775</v>
          </cell>
          <cell r="D19">
            <v>-243.43718150639324</v>
          </cell>
          <cell r="E19">
            <v>-346.562818493607</v>
          </cell>
          <cell r="F19">
            <v>-590.0000000000002</v>
          </cell>
          <cell r="G19">
            <v>7768.009898386168</v>
          </cell>
        </row>
        <row r="20">
          <cell r="B20">
            <v>8</v>
          </cell>
          <cell r="C20">
            <v>7768.009898386168</v>
          </cell>
          <cell r="D20">
            <v>-233.04029695158502</v>
          </cell>
          <cell r="E20">
            <v>-356.95970304841524</v>
          </cell>
          <cell r="F20">
            <v>-590.0000000000002</v>
          </cell>
          <cell r="G20">
            <v>7411.0501953377525</v>
          </cell>
        </row>
        <row r="21">
          <cell r="B21">
            <v>9</v>
          </cell>
          <cell r="C21">
            <v>7411.0501953377525</v>
          </cell>
          <cell r="D21">
            <v>-222.33150586013258</v>
          </cell>
          <cell r="E21">
            <v>-367.6684941398677</v>
          </cell>
          <cell r="F21">
            <v>-590.0000000000002</v>
          </cell>
          <cell r="G21">
            <v>7043.3817011978845</v>
          </cell>
        </row>
        <row r="22">
          <cell r="B22">
            <v>10</v>
          </cell>
          <cell r="C22">
            <v>7043.3817011978845</v>
          </cell>
          <cell r="D22">
            <v>-211.30145103593654</v>
          </cell>
          <cell r="E22">
            <v>-378.69854896406366</v>
          </cell>
          <cell r="F22">
            <v>-590.0000000000002</v>
          </cell>
          <cell r="G22">
            <v>6664.683152233821</v>
          </cell>
        </row>
        <row r="23">
          <cell r="B23">
            <v>11</v>
          </cell>
          <cell r="C23">
            <v>6664.683152233821</v>
          </cell>
          <cell r="D23">
            <v>-199.9404945670146</v>
          </cell>
          <cell r="E23">
            <v>-390.0595054329856</v>
          </cell>
          <cell r="F23">
            <v>-590.0000000000002</v>
          </cell>
          <cell r="G23">
            <v>6274.623646800836</v>
          </cell>
        </row>
        <row r="24">
          <cell r="B24">
            <v>12</v>
          </cell>
          <cell r="C24">
            <v>6274.623646800836</v>
          </cell>
          <cell r="D24">
            <v>-188.23870940402506</v>
          </cell>
          <cell r="E24">
            <v>-401.7612905959752</v>
          </cell>
          <cell r="F24">
            <v>-590.0000000000002</v>
          </cell>
          <cell r="G24">
            <v>5872.862356204861</v>
          </cell>
        </row>
        <row r="25">
          <cell r="B25">
            <v>13</v>
          </cell>
          <cell r="C25">
            <v>5872.862356204861</v>
          </cell>
          <cell r="D25">
            <v>-176.18587068614582</v>
          </cell>
          <cell r="E25">
            <v>-413.81412931385444</v>
          </cell>
          <cell r="F25">
            <v>-590.0000000000002</v>
          </cell>
          <cell r="G25">
            <v>5459.048226891006</v>
          </cell>
        </row>
        <row r="26">
          <cell r="B26">
            <v>14</v>
          </cell>
          <cell r="C26">
            <v>5459.048226891006</v>
          </cell>
          <cell r="D26">
            <v>-163.77144680673018</v>
          </cell>
          <cell r="E26">
            <v>-426.22855319327005</v>
          </cell>
          <cell r="F26">
            <v>-590.0000000000002</v>
          </cell>
          <cell r="G26">
            <v>5032.819673697736</v>
          </cell>
        </row>
        <row r="27">
          <cell r="B27">
            <v>15</v>
          </cell>
          <cell r="C27">
            <v>5032.819673697736</v>
          </cell>
          <cell r="D27">
            <v>-150.98459021093208</v>
          </cell>
          <cell r="E27">
            <v>-439.01540978906814</v>
          </cell>
          <cell r="F27">
            <v>-590.0000000000002</v>
          </cell>
          <cell r="G27">
            <v>4593.804263908668</v>
          </cell>
        </row>
        <row r="28">
          <cell r="B28">
            <v>16</v>
          </cell>
          <cell r="C28">
            <v>4593.804263908668</v>
          </cell>
          <cell r="D28">
            <v>-137.81412791726004</v>
          </cell>
          <cell r="E28">
            <v>-452.18587208274016</v>
          </cell>
          <cell r="F28">
            <v>-590.0000000000002</v>
          </cell>
          <cell r="G28">
            <v>4141.618391825928</v>
          </cell>
        </row>
        <row r="29">
          <cell r="B29">
            <v>17</v>
          </cell>
          <cell r="C29">
            <v>4141.618391825928</v>
          </cell>
          <cell r="D29">
            <v>-124.24855175477782</v>
          </cell>
          <cell r="E29">
            <v>-465.7514482452224</v>
          </cell>
          <cell r="F29">
            <v>-590.0000000000002</v>
          </cell>
          <cell r="G29">
            <v>3675.866943580705</v>
          </cell>
        </row>
        <row r="30">
          <cell r="B30">
            <v>18</v>
          </cell>
          <cell r="C30">
            <v>3675.866943580705</v>
          </cell>
          <cell r="D30">
            <v>-110.27600830742115</v>
          </cell>
          <cell r="E30">
            <v>-479.7239916925791</v>
          </cell>
          <cell r="F30">
            <v>-590.0000000000002</v>
          </cell>
          <cell r="G30">
            <v>3196.142951888126</v>
          </cell>
        </row>
        <row r="31">
          <cell r="B31">
            <v>19</v>
          </cell>
          <cell r="C31">
            <v>3196.142951888126</v>
          </cell>
          <cell r="D31">
            <v>-95.88428855664378</v>
          </cell>
          <cell r="E31">
            <v>-494.1157114433564</v>
          </cell>
          <cell r="F31">
            <v>-590.0000000000002</v>
          </cell>
          <cell r="G31">
            <v>2702.0272404447696</v>
          </cell>
        </row>
        <row r="32">
          <cell r="B32">
            <v>20</v>
          </cell>
          <cell r="C32">
            <v>2702.0272404447696</v>
          </cell>
          <cell r="D32">
            <v>-81.06081721334309</v>
          </cell>
          <cell r="E32">
            <v>-508.93918278665717</v>
          </cell>
          <cell r="F32">
            <v>-590.0000000000002</v>
          </cell>
          <cell r="G32">
            <v>2193.0880576581126</v>
          </cell>
        </row>
        <row r="33">
          <cell r="B33">
            <v>21</v>
          </cell>
          <cell r="C33">
            <v>2193.0880576581126</v>
          </cell>
          <cell r="D33">
            <v>-65.79264172974338</v>
          </cell>
          <cell r="E33">
            <v>-524.2073582702568</v>
          </cell>
          <cell r="F33">
            <v>-590.0000000000002</v>
          </cell>
          <cell r="G33">
            <v>1668.8806993878557</v>
          </cell>
        </row>
        <row r="34">
          <cell r="B34">
            <v>22</v>
          </cell>
          <cell r="C34">
            <v>1668.8806993878557</v>
          </cell>
          <cell r="D34">
            <v>-50.066420981635666</v>
          </cell>
          <cell r="E34">
            <v>-539.9335790183645</v>
          </cell>
          <cell r="F34">
            <v>-590.0000000000002</v>
          </cell>
          <cell r="G34">
            <v>1128.9471203694911</v>
          </cell>
        </row>
        <row r="35">
          <cell r="B35">
            <v>23</v>
          </cell>
          <cell r="C35">
            <v>1128.9471203694911</v>
          </cell>
          <cell r="D35">
            <v>-33.86841361108473</v>
          </cell>
          <cell r="E35">
            <v>-556.1315863889155</v>
          </cell>
          <cell r="F35">
            <v>-590.0000000000002</v>
          </cell>
          <cell r="G35">
            <v>572.8155339805757</v>
          </cell>
        </row>
        <row r="36">
          <cell r="B36">
            <v>24</v>
          </cell>
          <cell r="C36">
            <v>572.8155339805757</v>
          </cell>
          <cell r="D36">
            <v>-17.18446601941727</v>
          </cell>
          <cell r="E36">
            <v>-572.8155339805829</v>
          </cell>
          <cell r="F36">
            <v>-590.0000000000002</v>
          </cell>
          <cell r="G36">
            <v>-7.275957614183426E-12</v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5">
          <cell r="B95" t="str">
            <v>Gráficos</v>
          </cell>
        </row>
      </sheetData>
      <sheetData sheetId="20">
        <row r="4">
          <cell r="B4" t="str">
            <v>SAC - Amortizações Constantes</v>
          </cell>
        </row>
        <row r="95">
          <cell r="B95" t="str">
            <v>Gráficos (a ser melhorado em breve !!!)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E2:K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9.140625" style="8" customWidth="1"/>
    <col min="10" max="10" width="13.28125" style="8" bestFit="1" customWidth="1"/>
    <col min="11" max="16384" width="9.140625" style="8" customWidth="1"/>
  </cols>
  <sheetData>
    <row r="2" ht="30">
      <c r="E2" s="7" t="s">
        <v>52</v>
      </c>
    </row>
    <row r="3" ht="12.75">
      <c r="E3" s="9" t="s">
        <v>53</v>
      </c>
    </row>
    <row r="4" ht="12.75">
      <c r="E4" s="10" t="s">
        <v>170</v>
      </c>
    </row>
    <row r="5" ht="13.5" thickBot="1">
      <c r="E5" s="10"/>
    </row>
    <row r="6" spans="5:11" ht="12.75">
      <c r="E6" s="49" t="s">
        <v>49</v>
      </c>
      <c r="F6" s="50"/>
      <c r="G6" s="50"/>
      <c r="H6" s="50"/>
      <c r="I6" s="50"/>
      <c r="J6" s="50"/>
      <c r="K6" s="51"/>
    </row>
    <row r="7" spans="5:11" ht="12.75">
      <c r="E7" s="52" t="s">
        <v>143</v>
      </c>
      <c r="F7" s="53"/>
      <c r="G7" s="53"/>
      <c r="H7" s="53"/>
      <c r="I7" s="53"/>
      <c r="J7" s="53"/>
      <c r="K7" s="54"/>
    </row>
    <row r="8" spans="5:11" ht="12.75">
      <c r="E8" s="52" t="s">
        <v>46</v>
      </c>
      <c r="F8" s="53"/>
      <c r="G8" s="53"/>
      <c r="H8" s="55"/>
      <c r="I8" s="53"/>
      <c r="J8" s="56"/>
      <c r="K8" s="54"/>
    </row>
    <row r="9" spans="5:11" ht="12.75">
      <c r="E9" s="52" t="s">
        <v>47</v>
      </c>
      <c r="F9" s="53"/>
      <c r="G9" s="53"/>
      <c r="H9" s="53"/>
      <c r="I9" s="53"/>
      <c r="J9" s="53"/>
      <c r="K9" s="54"/>
    </row>
    <row r="10" spans="5:11" ht="12.75">
      <c r="E10" s="52" t="s">
        <v>43</v>
      </c>
      <c r="F10" s="53"/>
      <c r="G10" s="53"/>
      <c r="H10" s="53"/>
      <c r="I10" s="53"/>
      <c r="J10" s="53"/>
      <c r="K10" s="54"/>
    </row>
    <row r="11" spans="5:11" ht="12.75">
      <c r="E11" s="52" t="s">
        <v>44</v>
      </c>
      <c r="F11" s="53"/>
      <c r="G11" s="53"/>
      <c r="H11" s="53"/>
      <c r="I11" s="53"/>
      <c r="J11" s="53"/>
      <c r="K11" s="54"/>
    </row>
    <row r="12" spans="5:11" ht="12.75">
      <c r="E12" s="52" t="s">
        <v>45</v>
      </c>
      <c r="F12" s="53"/>
      <c r="G12" s="53"/>
      <c r="H12" s="53"/>
      <c r="I12" s="53"/>
      <c r="J12" s="53"/>
      <c r="K12" s="54"/>
    </row>
    <row r="13" spans="5:11" ht="13.5" thickBot="1">
      <c r="E13" s="57" t="s">
        <v>48</v>
      </c>
      <c r="F13" s="58"/>
      <c r="G13" s="58"/>
      <c r="H13" s="58"/>
      <c r="I13" s="58"/>
      <c r="J13" s="58"/>
      <c r="K13" s="59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3"/>
  <dimension ref="A1:AH229"/>
  <sheetViews>
    <sheetView zoomScale="85" zoomScaleNormal="85" zoomScalePageLayoutView="0" workbookViewId="0" topLeftCell="A1">
      <selection activeCell="L22" sqref="B5:L22"/>
    </sheetView>
  </sheetViews>
  <sheetFormatPr defaultColWidth="9.140625" defaultRowHeight="12.75"/>
  <cols>
    <col min="2" max="2" width="12.28125" style="0" customWidth="1"/>
    <col min="3" max="3" width="14.140625" style="0" customWidth="1"/>
    <col min="4" max="6" width="12.28125" style="0" customWidth="1"/>
    <col min="7" max="7" width="4.7109375" style="0" customWidth="1"/>
    <col min="9" max="9" width="10.28125" style="208" bestFit="1" customWidth="1"/>
    <col min="10" max="10" width="9.140625" style="208" customWidth="1"/>
    <col min="11" max="11" width="10.8515625" style="208" bestFit="1" customWidth="1"/>
    <col min="12" max="12" width="9.140625" style="208" customWidth="1"/>
    <col min="30" max="30" width="2.8515625" style="0" customWidth="1"/>
    <col min="32" max="32" width="9.28125" style="0" bestFit="1" customWidth="1"/>
    <col min="34" max="34" width="11.140625" style="0" customWidth="1"/>
  </cols>
  <sheetData>
    <row r="1" spans="2:13" ht="30">
      <c r="B1" s="222" t="s">
        <v>52</v>
      </c>
      <c r="C1" s="223"/>
      <c r="D1" s="223"/>
      <c r="E1" s="223"/>
      <c r="F1" s="223"/>
      <c r="G1" s="223"/>
      <c r="H1" s="223"/>
      <c r="I1" s="223"/>
      <c r="J1" s="223"/>
      <c r="K1" s="223"/>
      <c r="L1" s="224"/>
      <c r="M1" s="208"/>
    </row>
    <row r="2" spans="2:13" s="206" customFormat="1" ht="27.75">
      <c r="B2" s="225" t="s">
        <v>53</v>
      </c>
      <c r="C2" s="226"/>
      <c r="D2" s="226"/>
      <c r="E2" s="226"/>
      <c r="F2" s="226"/>
      <c r="G2" s="226"/>
      <c r="H2" s="226"/>
      <c r="I2" s="226"/>
      <c r="J2" s="226"/>
      <c r="K2" s="226"/>
      <c r="L2" s="227"/>
      <c r="M2" s="209"/>
    </row>
    <row r="3" spans="2:13" ht="13.5" thickBot="1">
      <c r="B3" s="230" t="s">
        <v>170</v>
      </c>
      <c r="C3" s="228"/>
      <c r="D3" s="228"/>
      <c r="E3" s="228"/>
      <c r="F3" s="228"/>
      <c r="G3" s="228"/>
      <c r="H3" s="228"/>
      <c r="I3" s="228"/>
      <c r="J3" s="228"/>
      <c r="K3" s="228"/>
      <c r="L3" s="229"/>
      <c r="M3" s="208"/>
    </row>
    <row r="4" spans="2:33" s="207" customFormat="1" ht="21" thickBo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210"/>
      <c r="AB4" s="468" t="s">
        <v>179</v>
      </c>
      <c r="AC4" s="469"/>
      <c r="AD4" s="469"/>
      <c r="AE4" s="469"/>
      <c r="AF4" s="469"/>
      <c r="AG4" s="470"/>
    </row>
    <row r="5" spans="2:13" ht="21" thickBot="1">
      <c r="B5" s="233" t="s">
        <v>208</v>
      </c>
      <c r="C5" s="231"/>
      <c r="D5" s="231"/>
      <c r="E5" s="231"/>
      <c r="F5" s="231"/>
      <c r="G5" s="231"/>
      <c r="H5" s="231"/>
      <c r="I5" s="231"/>
      <c r="J5" s="231"/>
      <c r="K5" s="231"/>
      <c r="L5" s="232"/>
      <c r="M5" s="208"/>
    </row>
    <row r="6" spans="1:12" s="21" customFormat="1" ht="21" thickBot="1">
      <c r="A6" s="134"/>
      <c r="B6" s="234"/>
      <c r="C6" s="134"/>
      <c r="D6" s="134"/>
      <c r="E6" s="134"/>
      <c r="F6" s="134"/>
      <c r="G6" s="134"/>
      <c r="H6" s="134"/>
      <c r="I6" s="134"/>
      <c r="J6" s="134"/>
      <c r="K6" s="134"/>
      <c r="L6" s="221"/>
    </row>
    <row r="7" spans="2:32" ht="12.75" customHeight="1" thickBot="1">
      <c r="B7" s="395" t="s">
        <v>171</v>
      </c>
      <c r="C7" s="465" t="s">
        <v>269</v>
      </c>
      <c r="D7" s="466"/>
      <c r="E7" s="466"/>
      <c r="F7" s="467"/>
      <c r="H7" s="268" t="s">
        <v>276</v>
      </c>
      <c r="AB7" s="34" t="s">
        <v>171</v>
      </c>
      <c r="AC7" s="34" t="s">
        <v>180</v>
      </c>
      <c r="AE7" s="33" t="s">
        <v>181</v>
      </c>
      <c r="AF7" s="211">
        <v>0.04</v>
      </c>
    </row>
    <row r="8" spans="2:29" ht="12.75" customHeight="1" thickBot="1">
      <c r="B8" s="396" t="s">
        <v>0</v>
      </c>
      <c r="C8" s="399" t="s">
        <v>271</v>
      </c>
      <c r="D8" s="399" t="s">
        <v>272</v>
      </c>
      <c r="E8" s="399" t="s">
        <v>273</v>
      </c>
      <c r="F8" s="400" t="s">
        <v>274</v>
      </c>
      <c r="H8" s="406"/>
      <c r="I8" s="407" t="str">
        <f>+C8</f>
        <v>Uni</v>
      </c>
      <c r="J8" s="408" t="str">
        <f>+D8</f>
        <v>Duni</v>
      </c>
      <c r="K8" s="408" t="str">
        <f>+E8</f>
        <v>Tê</v>
      </c>
      <c r="L8" s="409" t="str">
        <f>+F8</f>
        <v>Lêlê</v>
      </c>
      <c r="AB8" s="135">
        <v>0</v>
      </c>
      <c r="AC8" s="135">
        <v>-800</v>
      </c>
    </row>
    <row r="9" spans="2:32" ht="12.75" customHeight="1">
      <c r="B9" s="396" t="s">
        <v>270</v>
      </c>
      <c r="C9" s="404">
        <v>0.04</v>
      </c>
      <c r="D9" s="404">
        <v>0.04</v>
      </c>
      <c r="E9" s="404">
        <v>0.04</v>
      </c>
      <c r="F9" s="405">
        <v>0.04</v>
      </c>
      <c r="H9" s="410" t="s">
        <v>156</v>
      </c>
      <c r="I9" s="414">
        <f>NPV(C9,C11:C40)+C10</f>
        <v>324.5448338643605</v>
      </c>
      <c r="J9" s="415">
        <f>NPV(D9,D11:D40)+D10</f>
        <v>378.8235049543082</v>
      </c>
      <c r="K9" s="415">
        <f>NPV(E9,E11:E40)+E10</f>
        <v>610.474510696404</v>
      </c>
      <c r="L9" s="416">
        <f>NPV(F9,F11:F40)+F10</f>
        <v>370.6986800182067</v>
      </c>
      <c r="AB9" s="135">
        <v>1</v>
      </c>
      <c r="AC9" s="135">
        <v>500</v>
      </c>
      <c r="AE9" s="33" t="s">
        <v>156</v>
      </c>
      <c r="AF9" s="68">
        <f>NPV(AF7,AC9:AC12)+AC8</f>
        <v>488.2514617835509</v>
      </c>
    </row>
    <row r="10" spans="2:29" ht="12.75" customHeight="1">
      <c r="B10" s="397">
        <v>0</v>
      </c>
      <c r="C10" s="394">
        <v>-800</v>
      </c>
      <c r="D10" s="394">
        <v>-500</v>
      </c>
      <c r="E10" s="394">
        <v>-300</v>
      </c>
      <c r="F10" s="401">
        <v>-850</v>
      </c>
      <c r="H10" s="411" t="s">
        <v>275</v>
      </c>
      <c r="I10" s="417">
        <f>-PMT(C9,COUNTA(C11:C40),I9)</f>
        <v>116.94925679138895</v>
      </c>
      <c r="J10" s="418">
        <f>-PMT(D9,COUNTA(D11:D40),J9)</f>
        <v>104.36210456511569</v>
      </c>
      <c r="K10" s="419">
        <f>-PMT(E9,COUNTA(E11:E40),K9)</f>
        <v>219.98359815479222</v>
      </c>
      <c r="L10" s="413">
        <f>-PMT(F9,COUNTA(F11:F40),L9)</f>
        <v>133.58072783188103</v>
      </c>
      <c r="AB10" s="135">
        <v>2</v>
      </c>
      <c r="AC10" s="135">
        <v>400</v>
      </c>
    </row>
    <row r="11" spans="2:31" ht="12.75" customHeight="1" thickBot="1">
      <c r="B11" s="397">
        <f>+B10+1</f>
        <v>1</v>
      </c>
      <c r="C11" s="394">
        <v>600</v>
      </c>
      <c r="D11" s="394">
        <v>300</v>
      </c>
      <c r="E11" s="394">
        <v>100</v>
      </c>
      <c r="F11" s="401">
        <v>700</v>
      </c>
      <c r="H11" s="412" t="s">
        <v>157</v>
      </c>
      <c r="I11" s="422">
        <f>IRR(C10:C40)</f>
        <v>0.2885843468214243</v>
      </c>
      <c r="J11" s="420">
        <f>IRR(D10:D40)</f>
        <v>0.40674185640192406</v>
      </c>
      <c r="K11" s="420">
        <f>IRR(E10:E40)</f>
        <v>0.6973616612146126</v>
      </c>
      <c r="L11" s="421">
        <f>IRR(F10:F40)</f>
        <v>0.31666422147921924</v>
      </c>
      <c r="AB11" s="135">
        <v>3</v>
      </c>
      <c r="AC11" s="135">
        <v>300</v>
      </c>
      <c r="AE11" t="s">
        <v>182</v>
      </c>
    </row>
    <row r="12" spans="2:29" ht="12.75" customHeight="1">
      <c r="B12" s="397">
        <f aca="true" t="shared" si="0" ref="B12:B40">+B11+1</f>
        <v>2</v>
      </c>
      <c r="C12" s="394">
        <v>400</v>
      </c>
      <c r="D12" s="394">
        <v>400</v>
      </c>
      <c r="E12" s="394">
        <v>400</v>
      </c>
      <c r="F12" s="401">
        <v>400</v>
      </c>
      <c r="AB12" s="135">
        <v>4</v>
      </c>
      <c r="AC12" s="135">
        <v>200</v>
      </c>
    </row>
    <row r="13" spans="2:32" ht="12.75" customHeight="1">
      <c r="B13" s="397">
        <f t="shared" si="0"/>
        <v>3</v>
      </c>
      <c r="C13" s="394">
        <v>200</v>
      </c>
      <c r="D13" s="394">
        <v>200</v>
      </c>
      <c r="E13" s="394">
        <v>500</v>
      </c>
      <c r="F13" s="401">
        <v>200</v>
      </c>
      <c r="AF13" s="126" t="s">
        <v>183</v>
      </c>
    </row>
    <row r="14" spans="2:32" ht="12.75" customHeight="1">
      <c r="B14" s="397">
        <f t="shared" si="0"/>
        <v>4</v>
      </c>
      <c r="C14" s="394"/>
      <c r="D14" s="394">
        <v>50</v>
      </c>
      <c r="E14" s="394"/>
      <c r="F14" s="401"/>
      <c r="AF14" s="126" t="s">
        <v>184</v>
      </c>
    </row>
    <row r="15" spans="2:32" ht="12.75" customHeight="1">
      <c r="B15" s="397">
        <f t="shared" si="0"/>
        <v>5</v>
      </c>
      <c r="C15" s="394"/>
      <c r="D15" s="394"/>
      <c r="E15" s="394"/>
      <c r="F15" s="401"/>
      <c r="J15" s="212"/>
      <c r="K15" s="213"/>
      <c r="AF15" s="126" t="s">
        <v>185</v>
      </c>
    </row>
    <row r="16" spans="2:11" ht="12.75" customHeight="1">
      <c r="B16" s="397">
        <f t="shared" si="0"/>
        <v>6</v>
      </c>
      <c r="C16" s="394"/>
      <c r="D16" s="394"/>
      <c r="E16" s="394"/>
      <c r="F16" s="401"/>
      <c r="J16" s="212"/>
      <c r="K16" s="213"/>
    </row>
    <row r="17" spans="2:11" ht="12.75" customHeight="1" thickBot="1">
      <c r="B17" s="397">
        <f t="shared" si="0"/>
        <v>7</v>
      </c>
      <c r="C17" s="394"/>
      <c r="D17" s="394"/>
      <c r="E17" s="394"/>
      <c r="F17" s="401"/>
      <c r="J17" s="212"/>
      <c r="K17" s="213"/>
    </row>
    <row r="18" spans="2:34" ht="12.75" customHeight="1" thickBot="1">
      <c r="B18" s="397">
        <f t="shared" si="0"/>
        <v>8</v>
      </c>
      <c r="C18" s="394"/>
      <c r="D18" s="394"/>
      <c r="E18" s="394"/>
      <c r="F18" s="401"/>
      <c r="J18" s="212"/>
      <c r="K18" s="213"/>
      <c r="AB18" s="468" t="s">
        <v>179</v>
      </c>
      <c r="AC18" s="469"/>
      <c r="AD18" s="469"/>
      <c r="AE18" s="469"/>
      <c r="AF18" s="469"/>
      <c r="AG18" s="470"/>
      <c r="AH18" s="207"/>
    </row>
    <row r="19" spans="2:11" ht="12.75" customHeight="1">
      <c r="B19" s="397">
        <f t="shared" si="0"/>
        <v>9</v>
      </c>
      <c r="C19" s="394"/>
      <c r="D19" s="394"/>
      <c r="E19" s="394"/>
      <c r="F19" s="401"/>
      <c r="J19" s="212"/>
      <c r="K19" s="213"/>
    </row>
    <row r="20" spans="2:32" ht="12.75" customHeight="1">
      <c r="B20" s="397">
        <f t="shared" si="0"/>
        <v>10</v>
      </c>
      <c r="C20" s="394"/>
      <c r="D20" s="394"/>
      <c r="E20" s="394"/>
      <c r="F20" s="401"/>
      <c r="J20" s="212"/>
      <c r="K20" s="213"/>
      <c r="AB20" s="34" t="s">
        <v>128</v>
      </c>
      <c r="AC20" s="34" t="s">
        <v>180</v>
      </c>
      <c r="AE20" s="214" t="s">
        <v>181</v>
      </c>
      <c r="AF20" s="215">
        <v>0.04</v>
      </c>
    </row>
    <row r="21" spans="2:29" ht="12.75" customHeight="1">
      <c r="B21" s="397">
        <f t="shared" si="0"/>
        <v>11</v>
      </c>
      <c r="C21" s="394"/>
      <c r="D21" s="394"/>
      <c r="E21" s="394"/>
      <c r="F21" s="401"/>
      <c r="J21" s="212"/>
      <c r="K21" s="213"/>
      <c r="AB21" s="216">
        <v>36161</v>
      </c>
      <c r="AC21" s="135">
        <v>-600</v>
      </c>
    </row>
    <row r="22" spans="2:32" ht="12.75" customHeight="1">
      <c r="B22" s="397">
        <f t="shared" si="0"/>
        <v>12</v>
      </c>
      <c r="C22" s="394"/>
      <c r="D22" s="394"/>
      <c r="E22" s="394"/>
      <c r="F22" s="401"/>
      <c r="J22" s="212"/>
      <c r="K22" s="213"/>
      <c r="AB22" s="216">
        <v>36165</v>
      </c>
      <c r="AC22" s="135">
        <v>500</v>
      </c>
      <c r="AE22" s="214" t="s">
        <v>186</v>
      </c>
      <c r="AF22" s="217">
        <f>_XLL.XVPL(AF20,AC21:AC25,AB21:AB25)</f>
        <v>788.9631678772876</v>
      </c>
    </row>
    <row r="23" spans="2:29" ht="12.75" customHeight="1">
      <c r="B23" s="397">
        <f t="shared" si="0"/>
        <v>13</v>
      </c>
      <c r="C23" s="394"/>
      <c r="D23" s="394"/>
      <c r="E23" s="394"/>
      <c r="F23" s="401"/>
      <c r="J23" s="212"/>
      <c r="K23" s="213"/>
      <c r="AB23" s="216">
        <v>36231</v>
      </c>
      <c r="AC23" s="135">
        <v>400</v>
      </c>
    </row>
    <row r="24" spans="2:31" ht="12.75" customHeight="1">
      <c r="B24" s="397">
        <f t="shared" si="0"/>
        <v>14</v>
      </c>
      <c r="C24" s="394"/>
      <c r="D24" s="394"/>
      <c r="E24" s="394"/>
      <c r="F24" s="401"/>
      <c r="J24" s="212"/>
      <c r="K24" s="213"/>
      <c r="AB24" s="216">
        <v>36295</v>
      </c>
      <c r="AC24" s="135">
        <v>300</v>
      </c>
      <c r="AE24" t="s">
        <v>187</v>
      </c>
    </row>
    <row r="25" spans="2:29" ht="12.75" customHeight="1">
      <c r="B25" s="397">
        <f t="shared" si="0"/>
        <v>15</v>
      </c>
      <c r="C25" s="394"/>
      <c r="D25" s="394"/>
      <c r="E25" s="394"/>
      <c r="F25" s="401"/>
      <c r="J25" s="212"/>
      <c r="K25" s="213"/>
      <c r="AB25" s="216">
        <v>36327</v>
      </c>
      <c r="AC25" s="135">
        <v>200</v>
      </c>
    </row>
    <row r="26" spans="2:32" ht="12.75" customHeight="1">
      <c r="B26" s="397">
        <f t="shared" si="0"/>
        <v>16</v>
      </c>
      <c r="C26" s="394"/>
      <c r="D26" s="394"/>
      <c r="E26" s="394"/>
      <c r="F26" s="401"/>
      <c r="J26" s="212"/>
      <c r="K26" s="213"/>
      <c r="AF26" s="126"/>
    </row>
    <row r="27" spans="2:32" ht="12.75" customHeight="1">
      <c r="B27" s="397">
        <f t="shared" si="0"/>
        <v>17</v>
      </c>
      <c r="C27" s="394"/>
      <c r="D27" s="394"/>
      <c r="E27" s="394"/>
      <c r="F27" s="401"/>
      <c r="J27" s="212"/>
      <c r="K27" s="213"/>
      <c r="AF27" s="126"/>
    </row>
    <row r="28" spans="2:32" ht="12.75" customHeight="1" thickBot="1">
      <c r="B28" s="397">
        <f t="shared" si="0"/>
        <v>18</v>
      </c>
      <c r="C28" s="394"/>
      <c r="D28" s="394"/>
      <c r="E28" s="394"/>
      <c r="F28" s="401"/>
      <c r="J28" s="212"/>
      <c r="K28" s="213"/>
      <c r="AF28" s="126"/>
    </row>
    <row r="29" spans="2:34" ht="12.75" customHeight="1" thickBot="1">
      <c r="B29" s="397">
        <f t="shared" si="0"/>
        <v>19</v>
      </c>
      <c r="C29" s="394"/>
      <c r="D29" s="394"/>
      <c r="E29" s="394"/>
      <c r="F29" s="401"/>
      <c r="J29" s="212"/>
      <c r="K29" s="213"/>
      <c r="AB29" s="468" t="s">
        <v>179</v>
      </c>
      <c r="AC29" s="469"/>
      <c r="AD29" s="469"/>
      <c r="AE29" s="469"/>
      <c r="AF29" s="469"/>
      <c r="AG29" s="470"/>
      <c r="AH29" s="207"/>
    </row>
    <row r="30" spans="2:11" ht="12.75" customHeight="1">
      <c r="B30" s="397">
        <f t="shared" si="0"/>
        <v>20</v>
      </c>
      <c r="C30" s="394"/>
      <c r="D30" s="394"/>
      <c r="E30" s="394"/>
      <c r="F30" s="401"/>
      <c r="J30" s="212"/>
      <c r="K30" s="213"/>
    </row>
    <row r="31" spans="2:32" ht="12.75" customHeight="1">
      <c r="B31" s="397">
        <f t="shared" si="0"/>
        <v>21</v>
      </c>
      <c r="C31" s="394"/>
      <c r="D31" s="394"/>
      <c r="E31" s="394"/>
      <c r="F31" s="401"/>
      <c r="J31" s="212"/>
      <c r="K31" s="213"/>
      <c r="AB31" s="34" t="s">
        <v>128</v>
      </c>
      <c r="AC31" s="34" t="s">
        <v>180</v>
      </c>
      <c r="AE31" s="218"/>
      <c r="AF31" s="219"/>
    </row>
    <row r="32" spans="2:29" ht="12.75" customHeight="1">
      <c r="B32" s="397">
        <f t="shared" si="0"/>
        <v>22</v>
      </c>
      <c r="C32" s="394"/>
      <c r="D32" s="394"/>
      <c r="E32" s="394"/>
      <c r="F32" s="401"/>
      <c r="J32" s="212"/>
      <c r="K32" s="213"/>
      <c r="AB32" s="216">
        <v>36161</v>
      </c>
      <c r="AC32" s="135">
        <v>-550</v>
      </c>
    </row>
    <row r="33" spans="2:32" ht="12.75" customHeight="1">
      <c r="B33" s="397">
        <f t="shared" si="0"/>
        <v>23</v>
      </c>
      <c r="C33" s="394"/>
      <c r="D33" s="394"/>
      <c r="E33" s="394"/>
      <c r="F33" s="401"/>
      <c r="J33" s="212"/>
      <c r="K33" s="213"/>
      <c r="AB33" s="216">
        <v>36165</v>
      </c>
      <c r="AC33" s="135">
        <v>140</v>
      </c>
      <c r="AE33" s="214" t="s">
        <v>188</v>
      </c>
      <c r="AF33" s="220">
        <f>_XLL.XTIR(AC32:AC36,AB32:AB36)</f>
        <v>0.4445317447185516</v>
      </c>
    </row>
    <row r="34" spans="2:29" ht="12.75" customHeight="1">
      <c r="B34" s="397">
        <f t="shared" si="0"/>
        <v>24</v>
      </c>
      <c r="C34" s="394"/>
      <c r="D34" s="394"/>
      <c r="E34" s="394"/>
      <c r="F34" s="401"/>
      <c r="J34" s="212"/>
      <c r="K34" s="213"/>
      <c r="AB34" s="216">
        <v>36231</v>
      </c>
      <c r="AC34" s="135">
        <v>150</v>
      </c>
    </row>
    <row r="35" spans="2:31" ht="12.75" customHeight="1">
      <c r="B35" s="397">
        <f t="shared" si="0"/>
        <v>25</v>
      </c>
      <c r="C35" s="394"/>
      <c r="D35" s="394"/>
      <c r="E35" s="394"/>
      <c r="F35" s="401"/>
      <c r="J35" s="212"/>
      <c r="K35" s="213"/>
      <c r="AB35" s="216">
        <v>36295</v>
      </c>
      <c r="AC35" s="135">
        <v>155</v>
      </c>
      <c r="AE35" t="s">
        <v>189</v>
      </c>
    </row>
    <row r="36" spans="2:29" ht="12.75" customHeight="1">
      <c r="B36" s="397">
        <f t="shared" si="0"/>
        <v>26</v>
      </c>
      <c r="C36" s="394"/>
      <c r="D36" s="394"/>
      <c r="E36" s="394"/>
      <c r="F36" s="401"/>
      <c r="J36" s="212"/>
      <c r="K36" s="213"/>
      <c r="AB36" s="216">
        <v>36327</v>
      </c>
      <c r="AC36" s="135">
        <v>160</v>
      </c>
    </row>
    <row r="37" spans="2:32" ht="12.75" customHeight="1">
      <c r="B37" s="397">
        <f t="shared" si="0"/>
        <v>27</v>
      </c>
      <c r="C37" s="394"/>
      <c r="D37" s="394"/>
      <c r="E37" s="394"/>
      <c r="F37" s="401"/>
      <c r="J37" s="212"/>
      <c r="K37" s="213"/>
      <c r="AF37" s="126"/>
    </row>
    <row r="38" spans="2:11" ht="12.75" customHeight="1">
      <c r="B38" s="397">
        <f t="shared" si="0"/>
        <v>28</v>
      </c>
      <c r="C38" s="394"/>
      <c r="D38" s="394"/>
      <c r="E38" s="394"/>
      <c r="F38" s="401"/>
      <c r="J38" s="212"/>
      <c r="K38" s="213"/>
    </row>
    <row r="39" spans="2:11" ht="12.75" customHeight="1">
      <c r="B39" s="397">
        <f t="shared" si="0"/>
        <v>29</v>
      </c>
      <c r="C39" s="394"/>
      <c r="D39" s="394"/>
      <c r="E39" s="394"/>
      <c r="F39" s="401"/>
      <c r="J39" s="212"/>
      <c r="K39" s="213"/>
    </row>
    <row r="40" spans="2:12" ht="12.75" customHeight="1" thickBot="1">
      <c r="B40" s="398">
        <f t="shared" si="0"/>
        <v>30</v>
      </c>
      <c r="C40" s="402"/>
      <c r="D40" s="402"/>
      <c r="E40" s="402"/>
      <c r="F40" s="403"/>
      <c r="I40"/>
      <c r="J40"/>
      <c r="K40"/>
      <c r="L40"/>
    </row>
    <row r="41" spans="9:12" ht="12.75" customHeight="1">
      <c r="I41"/>
      <c r="J41"/>
      <c r="K41"/>
      <c r="L41"/>
    </row>
    <row r="42" spans="9:12" ht="12.75" customHeight="1">
      <c r="I42"/>
      <c r="J42"/>
      <c r="K42"/>
      <c r="L42"/>
    </row>
    <row r="43" spans="2:12" ht="12.75" customHeight="1">
      <c r="B43" s="208"/>
      <c r="C43" s="212"/>
      <c r="D43" s="213"/>
      <c r="E43" s="208"/>
      <c r="I43"/>
      <c r="J43"/>
      <c r="K43"/>
      <c r="L43"/>
    </row>
    <row r="44" spans="2:12" ht="12.75" customHeight="1">
      <c r="B44" s="208"/>
      <c r="C44" s="212"/>
      <c r="D44" s="213"/>
      <c r="E44" s="208"/>
      <c r="I44"/>
      <c r="J44"/>
      <c r="K44"/>
      <c r="L44"/>
    </row>
    <row r="45" spans="2:12" ht="12.75" customHeight="1">
      <c r="B45" s="208"/>
      <c r="C45" s="212"/>
      <c r="D45" s="213"/>
      <c r="E45" s="208"/>
      <c r="I45"/>
      <c r="J45"/>
      <c r="K45"/>
      <c r="L45"/>
    </row>
    <row r="46" spans="2:12" ht="12.75" customHeight="1">
      <c r="B46" s="208"/>
      <c r="C46" s="212"/>
      <c r="D46" s="213"/>
      <c r="E46" s="208"/>
      <c r="I46"/>
      <c r="J46"/>
      <c r="K46"/>
      <c r="L46"/>
    </row>
    <row r="47" spans="2:12" ht="12.75" customHeight="1">
      <c r="B47" s="208"/>
      <c r="C47" s="212"/>
      <c r="D47" s="213"/>
      <c r="E47" s="208"/>
      <c r="I47"/>
      <c r="J47"/>
      <c r="K47"/>
      <c r="L47"/>
    </row>
    <row r="48" spans="2:12" ht="12.75" customHeight="1">
      <c r="B48" s="208"/>
      <c r="C48" s="212"/>
      <c r="D48" s="213"/>
      <c r="E48" s="208"/>
      <c r="I48"/>
      <c r="J48"/>
      <c r="K48"/>
      <c r="L48"/>
    </row>
    <row r="49" spans="2:12" ht="12.75" customHeight="1">
      <c r="B49" s="208"/>
      <c r="C49" s="212"/>
      <c r="D49" s="213"/>
      <c r="E49" s="208"/>
      <c r="I49"/>
      <c r="J49"/>
      <c r="K49"/>
      <c r="L49"/>
    </row>
    <row r="50" spans="2:12" ht="12.75" customHeight="1">
      <c r="B50" s="208"/>
      <c r="C50" s="212"/>
      <c r="D50" s="213"/>
      <c r="E50" s="208"/>
      <c r="I50"/>
      <c r="J50"/>
      <c r="K50"/>
      <c r="L50"/>
    </row>
    <row r="51" spans="2:12" ht="12.75" customHeight="1">
      <c r="B51" s="208"/>
      <c r="C51" s="212"/>
      <c r="D51" s="213"/>
      <c r="E51" s="208"/>
      <c r="I51"/>
      <c r="J51"/>
      <c r="K51"/>
      <c r="L51"/>
    </row>
    <row r="52" spans="2:12" ht="12.75" customHeight="1">
      <c r="B52" s="208"/>
      <c r="C52" s="212"/>
      <c r="D52" s="213"/>
      <c r="E52" s="208"/>
      <c r="I52"/>
      <c r="J52"/>
      <c r="K52"/>
      <c r="L52"/>
    </row>
    <row r="53" spans="2:12" ht="12.75" customHeight="1">
      <c r="B53" s="208"/>
      <c r="C53" s="212"/>
      <c r="D53" s="213"/>
      <c r="E53" s="208"/>
      <c r="I53"/>
      <c r="J53"/>
      <c r="K53"/>
      <c r="L53"/>
    </row>
    <row r="54" spans="2:12" ht="12.75" customHeight="1">
      <c r="B54" s="208"/>
      <c r="C54" s="212"/>
      <c r="D54" s="213"/>
      <c r="E54" s="208"/>
      <c r="I54"/>
      <c r="J54"/>
      <c r="K54"/>
      <c r="L54"/>
    </row>
    <row r="55" spans="2:12" ht="12.75" customHeight="1">
      <c r="B55" s="208"/>
      <c r="C55" s="212"/>
      <c r="D55" s="213"/>
      <c r="E55" s="208"/>
      <c r="I55"/>
      <c r="J55"/>
      <c r="K55"/>
      <c r="L55"/>
    </row>
    <row r="56" spans="2:12" ht="12.75" customHeight="1">
      <c r="B56" s="208"/>
      <c r="C56" s="212"/>
      <c r="D56" s="213"/>
      <c r="E56" s="208"/>
      <c r="I56"/>
      <c r="J56"/>
      <c r="K56"/>
      <c r="L56"/>
    </row>
    <row r="57" spans="2:12" ht="12.75" customHeight="1">
      <c r="B57" s="208"/>
      <c r="C57" s="212"/>
      <c r="D57" s="213"/>
      <c r="E57" s="208"/>
      <c r="I57"/>
      <c r="J57"/>
      <c r="K57"/>
      <c r="L57"/>
    </row>
    <row r="58" spans="2:12" ht="12.75" customHeight="1">
      <c r="B58" s="208"/>
      <c r="C58" s="212"/>
      <c r="D58" s="213"/>
      <c r="E58" s="208"/>
      <c r="I58"/>
      <c r="J58"/>
      <c r="K58"/>
      <c r="L58"/>
    </row>
    <row r="59" spans="2:12" ht="12.75" customHeight="1">
      <c r="B59" s="208"/>
      <c r="C59" s="212"/>
      <c r="D59" s="213"/>
      <c r="E59" s="208"/>
      <c r="I59"/>
      <c r="J59"/>
      <c r="K59"/>
      <c r="L59"/>
    </row>
    <row r="60" spans="2:12" ht="12.75" customHeight="1">
      <c r="B60" s="208"/>
      <c r="C60" s="212"/>
      <c r="D60" s="213"/>
      <c r="E60" s="208"/>
      <c r="I60"/>
      <c r="J60"/>
      <c r="K60"/>
      <c r="L60"/>
    </row>
    <row r="61" spans="2:12" ht="12.75" customHeight="1">
      <c r="B61" s="208"/>
      <c r="C61" s="212"/>
      <c r="D61" s="213"/>
      <c r="E61" s="208"/>
      <c r="I61"/>
      <c r="J61"/>
      <c r="K61"/>
      <c r="L61"/>
    </row>
    <row r="62" spans="2:12" ht="12.75" customHeight="1">
      <c r="B62" s="208"/>
      <c r="C62" s="212"/>
      <c r="D62" s="213"/>
      <c r="E62" s="208"/>
      <c r="I62"/>
      <c r="J62"/>
      <c r="K62"/>
      <c r="L62"/>
    </row>
    <row r="63" spans="2:12" ht="12.75" customHeight="1">
      <c r="B63" s="208"/>
      <c r="C63" s="212"/>
      <c r="D63" s="213"/>
      <c r="E63" s="208"/>
      <c r="I63"/>
      <c r="J63"/>
      <c r="K63"/>
      <c r="L63"/>
    </row>
    <row r="64" spans="2:12" ht="12.75" customHeight="1">
      <c r="B64" s="208"/>
      <c r="C64" s="212"/>
      <c r="D64" s="213"/>
      <c r="E64" s="208"/>
      <c r="I64"/>
      <c r="J64"/>
      <c r="K64"/>
      <c r="L64"/>
    </row>
    <row r="65" spans="2:12" ht="12.75" customHeight="1">
      <c r="B65" s="208"/>
      <c r="C65" s="212"/>
      <c r="D65" s="213"/>
      <c r="E65" s="208"/>
      <c r="I65"/>
      <c r="J65"/>
      <c r="K65"/>
      <c r="L65"/>
    </row>
    <row r="66" spans="2:12" ht="12.75" customHeight="1">
      <c r="B66" s="208"/>
      <c r="C66" s="212"/>
      <c r="D66" s="213"/>
      <c r="E66" s="208"/>
      <c r="I66"/>
      <c r="J66"/>
      <c r="K66"/>
      <c r="L66"/>
    </row>
    <row r="67" spans="2:12" ht="12.75" customHeight="1">
      <c r="B67" s="208"/>
      <c r="C67" s="212"/>
      <c r="D67" s="213"/>
      <c r="E67" s="208"/>
      <c r="I67"/>
      <c r="J67"/>
      <c r="K67"/>
      <c r="L67"/>
    </row>
    <row r="68" spans="2:12" ht="12.75" customHeight="1">
      <c r="B68" s="208"/>
      <c r="C68" s="212"/>
      <c r="D68" s="213"/>
      <c r="E68" s="208"/>
      <c r="I68"/>
      <c r="J68"/>
      <c r="K68"/>
      <c r="L68"/>
    </row>
    <row r="69" spans="2:12" ht="12.75" customHeight="1">
      <c r="B69" s="208"/>
      <c r="C69" s="212"/>
      <c r="D69" s="213"/>
      <c r="E69" s="208"/>
      <c r="I69"/>
      <c r="J69"/>
      <c r="K69"/>
      <c r="L69"/>
    </row>
    <row r="70" spans="2:12" ht="12.75" customHeight="1">
      <c r="B70" s="208"/>
      <c r="C70" s="212"/>
      <c r="D70" s="213"/>
      <c r="E70" s="208"/>
      <c r="I70"/>
      <c r="J70"/>
      <c r="K70"/>
      <c r="L70"/>
    </row>
    <row r="71" spans="2:12" ht="12.75" customHeight="1">
      <c r="B71" s="208"/>
      <c r="C71" s="212"/>
      <c r="D71" s="213"/>
      <c r="E71" s="208"/>
      <c r="I71"/>
      <c r="J71"/>
      <c r="K71"/>
      <c r="L71"/>
    </row>
    <row r="72" spans="2:12" ht="12.75" customHeight="1">
      <c r="B72" s="208"/>
      <c r="C72" s="212"/>
      <c r="D72" s="213"/>
      <c r="E72" s="208"/>
      <c r="I72"/>
      <c r="J72"/>
      <c r="K72"/>
      <c r="L72"/>
    </row>
    <row r="73" spans="2:12" ht="12.75" customHeight="1">
      <c r="B73" s="208"/>
      <c r="C73" s="212"/>
      <c r="D73" s="213"/>
      <c r="E73" s="208"/>
      <c r="I73"/>
      <c r="J73"/>
      <c r="K73"/>
      <c r="L73"/>
    </row>
    <row r="74" spans="2:12" ht="12.75" customHeight="1">
      <c r="B74" s="208"/>
      <c r="C74" s="212"/>
      <c r="D74" s="213"/>
      <c r="E74" s="208"/>
      <c r="I74"/>
      <c r="J74"/>
      <c r="K74"/>
      <c r="L74"/>
    </row>
    <row r="75" spans="2:12" ht="12.75" customHeight="1">
      <c r="B75" s="208"/>
      <c r="C75" s="212"/>
      <c r="D75" s="213"/>
      <c r="E75" s="208"/>
      <c r="I75"/>
      <c r="J75"/>
      <c r="K75"/>
      <c r="L75"/>
    </row>
    <row r="76" spans="2:12" ht="12.75" customHeight="1">
      <c r="B76" s="208"/>
      <c r="C76" s="212"/>
      <c r="D76" s="213"/>
      <c r="E76" s="208"/>
      <c r="I76"/>
      <c r="J76"/>
      <c r="K76"/>
      <c r="L76"/>
    </row>
    <row r="77" spans="2:12" ht="12.75" customHeight="1">
      <c r="B77" s="208"/>
      <c r="C77" s="212"/>
      <c r="D77" s="213"/>
      <c r="E77" s="208"/>
      <c r="I77"/>
      <c r="J77"/>
      <c r="K77"/>
      <c r="L77"/>
    </row>
    <row r="78" spans="2:12" ht="12.75" customHeight="1">
      <c r="B78" s="208"/>
      <c r="C78" s="212"/>
      <c r="D78" s="213"/>
      <c r="E78" s="208"/>
      <c r="I78"/>
      <c r="J78"/>
      <c r="K78"/>
      <c r="L78"/>
    </row>
    <row r="79" spans="2:12" ht="12.75">
      <c r="B79" s="208"/>
      <c r="C79" s="212"/>
      <c r="D79" s="213"/>
      <c r="E79" s="208"/>
      <c r="I79"/>
      <c r="J79"/>
      <c r="K79"/>
      <c r="L79"/>
    </row>
    <row r="80" spans="2:12" ht="12.75">
      <c r="B80" s="208"/>
      <c r="C80" s="212"/>
      <c r="D80" s="213"/>
      <c r="E80" s="208"/>
      <c r="I80"/>
      <c r="J80"/>
      <c r="K80"/>
      <c r="L80"/>
    </row>
    <row r="81" spans="2:12" ht="12.75">
      <c r="B81" s="208"/>
      <c r="C81" s="212"/>
      <c r="D81" s="213"/>
      <c r="E81" s="208"/>
      <c r="I81"/>
      <c r="J81"/>
      <c r="K81"/>
      <c r="L81"/>
    </row>
    <row r="82" spans="2:12" ht="12.75">
      <c r="B82" s="208"/>
      <c r="C82" s="212"/>
      <c r="D82" s="213"/>
      <c r="E82" s="208"/>
      <c r="I82"/>
      <c r="J82"/>
      <c r="K82"/>
      <c r="L82"/>
    </row>
    <row r="83" spans="2:12" ht="12.75">
      <c r="B83" s="208"/>
      <c r="C83" s="212"/>
      <c r="D83" s="213"/>
      <c r="E83" s="208"/>
      <c r="I83"/>
      <c r="J83"/>
      <c r="K83"/>
      <c r="L83"/>
    </row>
    <row r="84" spans="2:12" ht="12.75">
      <c r="B84" s="208"/>
      <c r="C84" s="212"/>
      <c r="D84" s="213"/>
      <c r="E84" s="208"/>
      <c r="I84"/>
      <c r="J84"/>
      <c r="K84"/>
      <c r="L84"/>
    </row>
    <row r="85" spans="2:12" ht="12.75">
      <c r="B85" s="208"/>
      <c r="C85" s="212"/>
      <c r="D85" s="213"/>
      <c r="E85" s="208"/>
      <c r="I85"/>
      <c r="J85"/>
      <c r="K85"/>
      <c r="L85"/>
    </row>
    <row r="86" spans="2:12" ht="12.75">
      <c r="B86" s="208"/>
      <c r="C86" s="212"/>
      <c r="D86" s="213"/>
      <c r="E86" s="208"/>
      <c r="I86"/>
      <c r="J86"/>
      <c r="K86"/>
      <c r="L86"/>
    </row>
    <row r="87" spans="2:12" ht="12.75">
      <c r="B87" s="208"/>
      <c r="C87" s="212"/>
      <c r="D87" s="213"/>
      <c r="E87" s="208"/>
      <c r="I87"/>
      <c r="J87"/>
      <c r="K87"/>
      <c r="L87"/>
    </row>
    <row r="88" spans="2:12" ht="12.75">
      <c r="B88" s="208"/>
      <c r="C88" s="212"/>
      <c r="D88" s="213"/>
      <c r="E88" s="208"/>
      <c r="I88"/>
      <c r="J88"/>
      <c r="K88"/>
      <c r="L88"/>
    </row>
    <row r="89" spans="2:12" ht="12.75">
      <c r="B89" s="208"/>
      <c r="C89" s="212"/>
      <c r="D89" s="213"/>
      <c r="E89" s="208"/>
      <c r="I89"/>
      <c r="J89"/>
      <c r="K89"/>
      <c r="L89"/>
    </row>
    <row r="90" spans="2:12" ht="12.75">
      <c r="B90" s="208"/>
      <c r="C90" s="212"/>
      <c r="D90" s="213"/>
      <c r="E90" s="208"/>
      <c r="I90"/>
      <c r="J90"/>
      <c r="K90"/>
      <c r="L90"/>
    </row>
    <row r="91" spans="2:12" ht="12.75">
      <c r="B91" s="208"/>
      <c r="C91" s="212"/>
      <c r="D91" s="213"/>
      <c r="E91" s="208"/>
      <c r="I91"/>
      <c r="J91"/>
      <c r="K91"/>
      <c r="L91"/>
    </row>
    <row r="92" spans="2:12" ht="12.75">
      <c r="B92" s="208"/>
      <c r="C92" s="208"/>
      <c r="D92" s="208"/>
      <c r="E92" s="208"/>
      <c r="I92"/>
      <c r="J92"/>
      <c r="K92"/>
      <c r="L92"/>
    </row>
    <row r="93" spans="2:12" ht="12.75">
      <c r="B93" s="208"/>
      <c r="C93" s="208"/>
      <c r="D93" s="208"/>
      <c r="E93" s="208"/>
      <c r="I93"/>
      <c r="J93"/>
      <c r="K93"/>
      <c r="L93"/>
    </row>
    <row r="94" spans="2:12" ht="12.75">
      <c r="B94" s="208"/>
      <c r="C94" s="208"/>
      <c r="D94" s="208"/>
      <c r="E94" s="208"/>
      <c r="I94"/>
      <c r="J94"/>
      <c r="K94"/>
      <c r="L94"/>
    </row>
    <row r="95" spans="2:12" ht="12.75">
      <c r="B95" s="208"/>
      <c r="C95" s="208"/>
      <c r="D95" s="208"/>
      <c r="E95" s="208"/>
      <c r="I95"/>
      <c r="J95"/>
      <c r="K95"/>
      <c r="L95"/>
    </row>
    <row r="96" spans="2:12" ht="12.75">
      <c r="B96" s="208"/>
      <c r="C96" s="208"/>
      <c r="D96" s="208"/>
      <c r="E96" s="208"/>
      <c r="I96"/>
      <c r="J96"/>
      <c r="K96"/>
      <c r="L96"/>
    </row>
    <row r="97" spans="2:12" ht="12.75">
      <c r="B97" s="208"/>
      <c r="C97" s="208"/>
      <c r="D97" s="208"/>
      <c r="E97" s="208"/>
      <c r="I97"/>
      <c r="J97"/>
      <c r="K97"/>
      <c r="L97"/>
    </row>
    <row r="98" spans="2:12" ht="12.75">
      <c r="B98" s="208"/>
      <c r="C98" s="208"/>
      <c r="D98" s="208"/>
      <c r="E98" s="208"/>
      <c r="I98"/>
      <c r="J98"/>
      <c r="K98"/>
      <c r="L98"/>
    </row>
    <row r="99" spans="2:12" ht="12.75">
      <c r="B99" s="208"/>
      <c r="C99" s="208"/>
      <c r="D99" s="208"/>
      <c r="E99" s="208"/>
      <c r="I99"/>
      <c r="J99"/>
      <c r="K99"/>
      <c r="L99"/>
    </row>
    <row r="100" spans="2:12" ht="12.75">
      <c r="B100" s="208"/>
      <c r="C100" s="208"/>
      <c r="D100" s="208"/>
      <c r="E100" s="208"/>
      <c r="I100"/>
      <c r="J100"/>
      <c r="K100"/>
      <c r="L100"/>
    </row>
    <row r="101" spans="2:12" ht="12.75">
      <c r="B101" s="208"/>
      <c r="C101" s="208"/>
      <c r="D101" s="208"/>
      <c r="E101" s="208"/>
      <c r="I101"/>
      <c r="J101"/>
      <c r="K101"/>
      <c r="L101"/>
    </row>
    <row r="102" spans="2:12" ht="12.75">
      <c r="B102" s="208"/>
      <c r="C102" s="208"/>
      <c r="D102" s="208"/>
      <c r="E102" s="208"/>
      <c r="I102"/>
      <c r="J102"/>
      <c r="K102"/>
      <c r="L102"/>
    </row>
    <row r="103" spans="2:12" ht="12.75">
      <c r="B103" s="208"/>
      <c r="C103" s="208"/>
      <c r="D103" s="208"/>
      <c r="E103" s="208"/>
      <c r="I103"/>
      <c r="J103"/>
      <c r="K103"/>
      <c r="L103"/>
    </row>
    <row r="104" spans="2:12" ht="12.75">
      <c r="B104" s="208"/>
      <c r="C104" s="208"/>
      <c r="D104" s="208"/>
      <c r="E104" s="208"/>
      <c r="I104"/>
      <c r="J104"/>
      <c r="K104"/>
      <c r="L104"/>
    </row>
    <row r="105" spans="2:12" ht="12.75">
      <c r="B105" s="208"/>
      <c r="C105" s="208"/>
      <c r="D105" s="208"/>
      <c r="E105" s="208"/>
      <c r="I105"/>
      <c r="J105"/>
      <c r="K105"/>
      <c r="L105"/>
    </row>
    <row r="106" spans="2:12" ht="12.75">
      <c r="B106" s="208"/>
      <c r="C106" s="208"/>
      <c r="D106" s="208"/>
      <c r="E106" s="208"/>
      <c r="I106"/>
      <c r="J106"/>
      <c r="K106"/>
      <c r="L106"/>
    </row>
    <row r="107" spans="2:12" ht="12.75">
      <c r="B107" s="208"/>
      <c r="C107" s="208"/>
      <c r="D107" s="208"/>
      <c r="E107" s="208"/>
      <c r="I107"/>
      <c r="J107"/>
      <c r="K107"/>
      <c r="L107"/>
    </row>
    <row r="108" spans="2:12" ht="12.75">
      <c r="B108" s="208"/>
      <c r="C108" s="208"/>
      <c r="D108" s="208"/>
      <c r="E108" s="208"/>
      <c r="I108"/>
      <c r="J108"/>
      <c r="K108"/>
      <c r="L108"/>
    </row>
    <row r="109" spans="2:12" ht="12.75">
      <c r="B109" s="208"/>
      <c r="C109" s="208"/>
      <c r="D109" s="208"/>
      <c r="E109" s="208"/>
      <c r="I109"/>
      <c r="J109"/>
      <c r="K109"/>
      <c r="L109"/>
    </row>
    <row r="110" spans="2:12" ht="12.75">
      <c r="B110" s="208"/>
      <c r="C110" s="208"/>
      <c r="D110" s="208"/>
      <c r="E110" s="208"/>
      <c r="I110"/>
      <c r="J110"/>
      <c r="K110"/>
      <c r="L110"/>
    </row>
    <row r="111" spans="2:12" ht="12.75">
      <c r="B111" s="208"/>
      <c r="C111" s="208"/>
      <c r="D111" s="208"/>
      <c r="E111" s="208"/>
      <c r="I111"/>
      <c r="J111"/>
      <c r="K111"/>
      <c r="L111"/>
    </row>
    <row r="112" spans="2:12" ht="12.75">
      <c r="B112" s="208"/>
      <c r="C112" s="208"/>
      <c r="D112" s="208"/>
      <c r="E112" s="208"/>
      <c r="I112"/>
      <c r="J112"/>
      <c r="K112"/>
      <c r="L112"/>
    </row>
    <row r="113" spans="2:12" ht="12.75">
      <c r="B113" s="208"/>
      <c r="C113" s="208"/>
      <c r="D113" s="208"/>
      <c r="E113" s="208"/>
      <c r="I113"/>
      <c r="J113"/>
      <c r="K113"/>
      <c r="L113"/>
    </row>
    <row r="114" spans="2:12" ht="12.75">
      <c r="B114" s="208"/>
      <c r="C114" s="208"/>
      <c r="D114" s="208"/>
      <c r="E114" s="208"/>
      <c r="I114"/>
      <c r="J114"/>
      <c r="K114"/>
      <c r="L114"/>
    </row>
    <row r="115" spans="2:12" ht="12.75">
      <c r="B115" s="208"/>
      <c r="C115" s="208"/>
      <c r="D115" s="208"/>
      <c r="E115" s="208"/>
      <c r="I115"/>
      <c r="J115"/>
      <c r="K115"/>
      <c r="L115"/>
    </row>
    <row r="116" spans="2:12" ht="12.75">
      <c r="B116" s="208"/>
      <c r="C116" s="208"/>
      <c r="D116" s="208"/>
      <c r="E116" s="208"/>
      <c r="I116"/>
      <c r="J116"/>
      <c r="K116"/>
      <c r="L116"/>
    </row>
    <row r="117" spans="2:12" ht="12.75">
      <c r="B117" s="208"/>
      <c r="C117" s="208"/>
      <c r="D117" s="208"/>
      <c r="E117" s="208"/>
      <c r="I117"/>
      <c r="J117"/>
      <c r="K117"/>
      <c r="L117"/>
    </row>
    <row r="118" spans="2:12" ht="12.75">
      <c r="B118" s="208"/>
      <c r="C118" s="208"/>
      <c r="D118" s="208"/>
      <c r="E118" s="208"/>
      <c r="I118"/>
      <c r="J118"/>
      <c r="K118"/>
      <c r="L118"/>
    </row>
    <row r="119" spans="2:12" ht="12.75">
      <c r="B119" s="208"/>
      <c r="C119" s="208"/>
      <c r="D119" s="208"/>
      <c r="E119" s="208"/>
      <c r="I119"/>
      <c r="J119"/>
      <c r="K119"/>
      <c r="L119"/>
    </row>
    <row r="120" spans="2:12" ht="12.75">
      <c r="B120" s="208"/>
      <c r="C120" s="208"/>
      <c r="D120" s="208"/>
      <c r="E120" s="208"/>
      <c r="I120"/>
      <c r="J120"/>
      <c r="K120"/>
      <c r="L120"/>
    </row>
    <row r="121" spans="2:12" ht="12.75">
      <c r="B121" s="208"/>
      <c r="C121" s="208"/>
      <c r="D121" s="208"/>
      <c r="E121" s="208"/>
      <c r="I121"/>
      <c r="J121"/>
      <c r="K121"/>
      <c r="L121"/>
    </row>
    <row r="122" spans="2:12" ht="12.75">
      <c r="B122" s="208"/>
      <c r="C122" s="208"/>
      <c r="D122" s="208"/>
      <c r="E122" s="208"/>
      <c r="I122"/>
      <c r="J122"/>
      <c r="K122"/>
      <c r="L122"/>
    </row>
    <row r="123" spans="2:12" ht="12.75">
      <c r="B123" s="208"/>
      <c r="C123" s="208"/>
      <c r="D123" s="208"/>
      <c r="E123" s="208"/>
      <c r="I123"/>
      <c r="J123"/>
      <c r="K123"/>
      <c r="L123"/>
    </row>
    <row r="124" spans="2:12" ht="12.75">
      <c r="B124" s="208"/>
      <c r="C124" s="208"/>
      <c r="D124" s="208"/>
      <c r="E124" s="208"/>
      <c r="I124"/>
      <c r="J124"/>
      <c r="K124"/>
      <c r="L124"/>
    </row>
    <row r="125" spans="2:12" ht="12.75">
      <c r="B125" s="208"/>
      <c r="C125" s="208"/>
      <c r="D125" s="208"/>
      <c r="E125" s="208"/>
      <c r="I125"/>
      <c r="J125"/>
      <c r="K125"/>
      <c r="L125"/>
    </row>
    <row r="126" spans="2:12" ht="12.75">
      <c r="B126" s="208"/>
      <c r="C126" s="208"/>
      <c r="D126" s="208"/>
      <c r="E126" s="208"/>
      <c r="I126"/>
      <c r="J126"/>
      <c r="K126"/>
      <c r="L126"/>
    </row>
    <row r="127" spans="2:12" ht="12.75">
      <c r="B127" s="208"/>
      <c r="C127" s="208"/>
      <c r="D127" s="208"/>
      <c r="E127" s="208"/>
      <c r="I127"/>
      <c r="J127"/>
      <c r="K127"/>
      <c r="L127"/>
    </row>
    <row r="128" spans="2:12" ht="12.75">
      <c r="B128" s="208"/>
      <c r="C128" s="208"/>
      <c r="D128" s="208"/>
      <c r="E128" s="208"/>
      <c r="I128"/>
      <c r="J128"/>
      <c r="K128"/>
      <c r="L128"/>
    </row>
    <row r="129" spans="2:12" ht="12.75">
      <c r="B129" s="208"/>
      <c r="C129" s="208"/>
      <c r="D129" s="208"/>
      <c r="E129" s="208"/>
      <c r="I129"/>
      <c r="J129"/>
      <c r="K129"/>
      <c r="L129"/>
    </row>
    <row r="130" spans="2:12" ht="12.75">
      <c r="B130" s="208"/>
      <c r="C130" s="208"/>
      <c r="D130" s="208"/>
      <c r="E130" s="208"/>
      <c r="I130"/>
      <c r="J130"/>
      <c r="K130"/>
      <c r="L130"/>
    </row>
    <row r="131" spans="2:12" ht="12.75">
      <c r="B131" s="208"/>
      <c r="C131" s="208"/>
      <c r="D131" s="208"/>
      <c r="E131" s="208"/>
      <c r="I131"/>
      <c r="J131"/>
      <c r="K131"/>
      <c r="L131"/>
    </row>
    <row r="132" spans="2:12" ht="12.75">
      <c r="B132" s="208"/>
      <c r="C132" s="208"/>
      <c r="D132" s="208"/>
      <c r="E132" s="208"/>
      <c r="I132"/>
      <c r="J132"/>
      <c r="K132"/>
      <c r="L132"/>
    </row>
    <row r="133" spans="2:12" ht="12.75">
      <c r="B133" s="208"/>
      <c r="C133" s="208"/>
      <c r="D133" s="208"/>
      <c r="E133" s="208"/>
      <c r="I133"/>
      <c r="J133"/>
      <c r="K133"/>
      <c r="L133"/>
    </row>
    <row r="134" spans="2:12" ht="12.75">
      <c r="B134" s="208"/>
      <c r="C134" s="208"/>
      <c r="D134" s="208"/>
      <c r="E134" s="208"/>
      <c r="I134"/>
      <c r="J134"/>
      <c r="K134"/>
      <c r="L134"/>
    </row>
    <row r="135" spans="2:12" ht="12.75">
      <c r="B135" s="208"/>
      <c r="C135" s="208"/>
      <c r="D135" s="208"/>
      <c r="E135" s="208"/>
      <c r="I135"/>
      <c r="J135"/>
      <c r="K135"/>
      <c r="L135"/>
    </row>
    <row r="136" spans="2:12" ht="12.75">
      <c r="B136" s="208"/>
      <c r="C136" s="208"/>
      <c r="D136" s="208"/>
      <c r="E136" s="208"/>
      <c r="I136"/>
      <c r="J136"/>
      <c r="K136"/>
      <c r="L136"/>
    </row>
    <row r="137" spans="2:12" ht="12.75">
      <c r="B137" s="208"/>
      <c r="C137" s="208"/>
      <c r="D137" s="208"/>
      <c r="E137" s="208"/>
      <c r="I137"/>
      <c r="J137"/>
      <c r="K137"/>
      <c r="L137"/>
    </row>
    <row r="138" spans="2:12" ht="12.75">
      <c r="B138" s="208"/>
      <c r="C138" s="208"/>
      <c r="D138" s="208"/>
      <c r="E138" s="208"/>
      <c r="I138"/>
      <c r="J138"/>
      <c r="K138"/>
      <c r="L138"/>
    </row>
    <row r="139" spans="2:12" ht="12.75">
      <c r="B139" s="208"/>
      <c r="C139" s="208"/>
      <c r="D139" s="208"/>
      <c r="E139" s="208"/>
      <c r="I139"/>
      <c r="J139"/>
      <c r="K139"/>
      <c r="L139"/>
    </row>
    <row r="140" spans="2:12" ht="12.75">
      <c r="B140" s="208"/>
      <c r="C140" s="208"/>
      <c r="D140" s="208"/>
      <c r="E140" s="208"/>
      <c r="I140"/>
      <c r="J140"/>
      <c r="K140"/>
      <c r="L140"/>
    </row>
    <row r="141" spans="2:12" ht="12.75">
      <c r="B141" s="208"/>
      <c r="C141" s="208"/>
      <c r="D141" s="208"/>
      <c r="E141" s="208"/>
      <c r="I141"/>
      <c r="J141"/>
      <c r="K141"/>
      <c r="L141"/>
    </row>
    <row r="142" spans="2:12" ht="12.75">
      <c r="B142" s="208"/>
      <c r="C142" s="208"/>
      <c r="D142" s="208"/>
      <c r="E142" s="208"/>
      <c r="I142"/>
      <c r="J142"/>
      <c r="K142"/>
      <c r="L142"/>
    </row>
    <row r="143" spans="2:12" ht="12.75">
      <c r="B143" s="208"/>
      <c r="C143" s="208"/>
      <c r="D143" s="208"/>
      <c r="E143" s="208"/>
      <c r="I143"/>
      <c r="J143"/>
      <c r="K143"/>
      <c r="L143"/>
    </row>
    <row r="144" spans="2:12" ht="12.75">
      <c r="B144" s="208"/>
      <c r="C144" s="208"/>
      <c r="D144" s="208"/>
      <c r="E144" s="208"/>
      <c r="I144"/>
      <c r="J144"/>
      <c r="K144"/>
      <c r="L144"/>
    </row>
    <row r="145" spans="2:12" ht="12.75">
      <c r="B145" s="208"/>
      <c r="C145" s="208"/>
      <c r="D145" s="208"/>
      <c r="E145" s="208"/>
      <c r="I145"/>
      <c r="J145"/>
      <c r="K145"/>
      <c r="L145"/>
    </row>
    <row r="146" spans="2:12" ht="12.75">
      <c r="B146" s="208"/>
      <c r="C146" s="208"/>
      <c r="D146" s="208"/>
      <c r="E146" s="208"/>
      <c r="I146"/>
      <c r="J146"/>
      <c r="K146"/>
      <c r="L146"/>
    </row>
    <row r="147" spans="2:12" ht="12.75">
      <c r="B147" s="208"/>
      <c r="C147" s="208"/>
      <c r="D147" s="208"/>
      <c r="E147" s="208"/>
      <c r="I147"/>
      <c r="J147"/>
      <c r="K147"/>
      <c r="L147"/>
    </row>
    <row r="148" spans="2:12" ht="12.75">
      <c r="B148" s="208"/>
      <c r="C148" s="208"/>
      <c r="D148" s="208"/>
      <c r="E148" s="208"/>
      <c r="I148"/>
      <c r="J148"/>
      <c r="K148"/>
      <c r="L148"/>
    </row>
    <row r="149" spans="2:12" ht="12.75">
      <c r="B149" s="208"/>
      <c r="C149" s="208"/>
      <c r="D149" s="208"/>
      <c r="E149" s="208"/>
      <c r="I149"/>
      <c r="J149"/>
      <c r="K149"/>
      <c r="L149"/>
    </row>
    <row r="150" spans="2:12" ht="12.75">
      <c r="B150" s="208"/>
      <c r="C150" s="208"/>
      <c r="D150" s="208"/>
      <c r="E150" s="208"/>
      <c r="I150"/>
      <c r="J150"/>
      <c r="K150"/>
      <c r="L150"/>
    </row>
    <row r="151" spans="2:12" ht="12.75">
      <c r="B151" s="208"/>
      <c r="C151" s="208"/>
      <c r="D151" s="208"/>
      <c r="E151" s="208"/>
      <c r="I151"/>
      <c r="J151"/>
      <c r="K151"/>
      <c r="L151"/>
    </row>
    <row r="152" spans="2:12" ht="12.75">
      <c r="B152" s="208"/>
      <c r="C152" s="208"/>
      <c r="D152" s="208"/>
      <c r="E152" s="208"/>
      <c r="I152"/>
      <c r="J152"/>
      <c r="K152"/>
      <c r="L152"/>
    </row>
    <row r="153" spans="2:12" ht="12.75">
      <c r="B153" s="208"/>
      <c r="C153" s="208"/>
      <c r="D153" s="208"/>
      <c r="E153" s="208"/>
      <c r="I153"/>
      <c r="J153"/>
      <c r="K153"/>
      <c r="L153"/>
    </row>
    <row r="154" spans="2:12" ht="12.75">
      <c r="B154" s="208"/>
      <c r="C154" s="208"/>
      <c r="D154" s="208"/>
      <c r="E154" s="208"/>
      <c r="I154"/>
      <c r="J154"/>
      <c r="K154"/>
      <c r="L154"/>
    </row>
    <row r="155" spans="2:12" ht="12.75">
      <c r="B155" s="208"/>
      <c r="C155" s="208"/>
      <c r="D155" s="208"/>
      <c r="E155" s="208"/>
      <c r="I155"/>
      <c r="J155"/>
      <c r="K155"/>
      <c r="L155"/>
    </row>
    <row r="156" spans="2:12" ht="12.75">
      <c r="B156" s="208"/>
      <c r="C156" s="208"/>
      <c r="D156" s="208"/>
      <c r="E156" s="208"/>
      <c r="I156"/>
      <c r="J156"/>
      <c r="K156"/>
      <c r="L156"/>
    </row>
    <row r="157" spans="2:12" ht="12.75">
      <c r="B157" s="208"/>
      <c r="C157" s="208"/>
      <c r="D157" s="208"/>
      <c r="E157" s="208"/>
      <c r="I157"/>
      <c r="J157"/>
      <c r="K157"/>
      <c r="L157"/>
    </row>
    <row r="158" spans="2:12" ht="12.75">
      <c r="B158" s="208"/>
      <c r="C158" s="208"/>
      <c r="D158" s="208"/>
      <c r="E158" s="208"/>
      <c r="I158"/>
      <c r="J158"/>
      <c r="K158"/>
      <c r="L158"/>
    </row>
    <row r="159" spans="2:12" ht="12.75">
      <c r="B159" s="208"/>
      <c r="C159" s="208"/>
      <c r="D159" s="208"/>
      <c r="E159" s="208"/>
      <c r="I159"/>
      <c r="J159"/>
      <c r="K159"/>
      <c r="L159"/>
    </row>
    <row r="160" spans="2:12" ht="12.75">
      <c r="B160" s="208"/>
      <c r="C160" s="208"/>
      <c r="D160" s="208"/>
      <c r="E160" s="208"/>
      <c r="I160"/>
      <c r="J160"/>
      <c r="K160"/>
      <c r="L160"/>
    </row>
    <row r="161" spans="2:12" ht="12.75">
      <c r="B161" s="208"/>
      <c r="C161" s="208"/>
      <c r="D161" s="208"/>
      <c r="E161" s="208"/>
      <c r="I161"/>
      <c r="J161"/>
      <c r="K161"/>
      <c r="L161"/>
    </row>
    <row r="162" spans="2:12" ht="12.75">
      <c r="B162" s="208"/>
      <c r="C162" s="208"/>
      <c r="D162" s="208"/>
      <c r="E162" s="208"/>
      <c r="I162"/>
      <c r="J162"/>
      <c r="K162"/>
      <c r="L162"/>
    </row>
    <row r="163" spans="2:12" ht="12.75">
      <c r="B163" s="208"/>
      <c r="C163" s="208"/>
      <c r="D163" s="208"/>
      <c r="E163" s="208"/>
      <c r="I163"/>
      <c r="J163"/>
      <c r="K163"/>
      <c r="L163"/>
    </row>
    <row r="164" spans="2:12" ht="12.75">
      <c r="B164" s="208"/>
      <c r="C164" s="208"/>
      <c r="D164" s="208"/>
      <c r="E164" s="208"/>
      <c r="I164"/>
      <c r="J164"/>
      <c r="K164"/>
      <c r="L164"/>
    </row>
    <row r="165" spans="2:12" ht="12.75">
      <c r="B165" s="208"/>
      <c r="C165" s="208"/>
      <c r="D165" s="208"/>
      <c r="E165" s="208"/>
      <c r="I165"/>
      <c r="J165"/>
      <c r="K165"/>
      <c r="L165"/>
    </row>
    <row r="166" spans="2:12" ht="12.75">
      <c r="B166" s="208"/>
      <c r="C166" s="208"/>
      <c r="D166" s="208"/>
      <c r="E166" s="208"/>
      <c r="I166"/>
      <c r="J166"/>
      <c r="K166"/>
      <c r="L166"/>
    </row>
    <row r="167" spans="2:12" ht="12.75">
      <c r="B167" s="208"/>
      <c r="C167" s="208"/>
      <c r="D167" s="208"/>
      <c r="E167" s="208"/>
      <c r="I167"/>
      <c r="J167"/>
      <c r="K167"/>
      <c r="L167"/>
    </row>
    <row r="168" spans="2:12" ht="12.75">
      <c r="B168" s="208"/>
      <c r="C168" s="208"/>
      <c r="D168" s="208"/>
      <c r="E168" s="208"/>
      <c r="I168"/>
      <c r="J168"/>
      <c r="K168"/>
      <c r="L168"/>
    </row>
    <row r="169" spans="2:12" ht="12.75">
      <c r="B169" s="208"/>
      <c r="C169" s="208"/>
      <c r="D169" s="208"/>
      <c r="E169" s="208"/>
      <c r="I169"/>
      <c r="J169"/>
      <c r="K169"/>
      <c r="L169"/>
    </row>
    <row r="170" spans="2:12" ht="12.75">
      <c r="B170" s="208"/>
      <c r="C170" s="208"/>
      <c r="D170" s="208"/>
      <c r="E170" s="208"/>
      <c r="I170"/>
      <c r="J170"/>
      <c r="K170"/>
      <c r="L170"/>
    </row>
    <row r="171" spans="2:12" ht="12.75">
      <c r="B171" s="208"/>
      <c r="C171" s="208"/>
      <c r="D171" s="208"/>
      <c r="E171" s="208"/>
      <c r="I171"/>
      <c r="J171"/>
      <c r="K171"/>
      <c r="L171"/>
    </row>
    <row r="172" spans="2:12" ht="12.75">
      <c r="B172" s="208"/>
      <c r="C172" s="208"/>
      <c r="D172" s="208"/>
      <c r="E172" s="208"/>
      <c r="I172"/>
      <c r="J172"/>
      <c r="K172"/>
      <c r="L172"/>
    </row>
    <row r="173" spans="2:12" ht="12.75">
      <c r="B173" s="208"/>
      <c r="C173" s="208"/>
      <c r="D173" s="208"/>
      <c r="E173" s="208"/>
      <c r="I173"/>
      <c r="J173"/>
      <c r="K173"/>
      <c r="L173"/>
    </row>
    <row r="174" spans="2:12" ht="12.75">
      <c r="B174" s="208"/>
      <c r="C174" s="208"/>
      <c r="D174" s="208"/>
      <c r="E174" s="208"/>
      <c r="I174"/>
      <c r="J174"/>
      <c r="K174"/>
      <c r="L174"/>
    </row>
    <row r="175" spans="2:12" ht="12.75">
      <c r="B175" s="208"/>
      <c r="C175" s="208"/>
      <c r="D175" s="208"/>
      <c r="E175" s="208"/>
      <c r="I175"/>
      <c r="J175"/>
      <c r="K175"/>
      <c r="L175"/>
    </row>
    <row r="176" spans="2:12" ht="12.75">
      <c r="B176" s="208"/>
      <c r="C176" s="208"/>
      <c r="D176" s="208"/>
      <c r="E176" s="208"/>
      <c r="I176"/>
      <c r="J176"/>
      <c r="K176"/>
      <c r="L176"/>
    </row>
    <row r="177" spans="2:12" ht="12.75">
      <c r="B177" s="208"/>
      <c r="C177" s="208"/>
      <c r="D177" s="208"/>
      <c r="E177" s="208"/>
      <c r="I177"/>
      <c r="J177"/>
      <c r="K177"/>
      <c r="L177"/>
    </row>
    <row r="178" spans="2:12" ht="12.75">
      <c r="B178" s="208"/>
      <c r="C178" s="208"/>
      <c r="D178" s="208"/>
      <c r="E178" s="208"/>
      <c r="I178"/>
      <c r="J178"/>
      <c r="K178"/>
      <c r="L178"/>
    </row>
    <row r="179" spans="2:12" ht="12.75">
      <c r="B179" s="208"/>
      <c r="C179" s="208"/>
      <c r="D179" s="208"/>
      <c r="E179" s="208"/>
      <c r="I179"/>
      <c r="J179"/>
      <c r="K179"/>
      <c r="L179"/>
    </row>
    <row r="180" spans="2:12" ht="12.75">
      <c r="B180" s="208"/>
      <c r="C180" s="208"/>
      <c r="D180" s="208"/>
      <c r="E180" s="208"/>
      <c r="I180"/>
      <c r="J180"/>
      <c r="K180"/>
      <c r="L180"/>
    </row>
    <row r="181" spans="2:12" ht="12.75">
      <c r="B181" s="208"/>
      <c r="C181" s="208"/>
      <c r="D181" s="208"/>
      <c r="E181" s="208"/>
      <c r="I181"/>
      <c r="J181"/>
      <c r="K181"/>
      <c r="L181"/>
    </row>
    <row r="182" spans="2:12" ht="12.75">
      <c r="B182" s="208"/>
      <c r="C182" s="208"/>
      <c r="D182" s="208"/>
      <c r="E182" s="208"/>
      <c r="I182"/>
      <c r="J182"/>
      <c r="K182"/>
      <c r="L182"/>
    </row>
    <row r="183" spans="2:12" ht="12.75" customHeight="1">
      <c r="B183" s="208"/>
      <c r="C183" s="208"/>
      <c r="D183" s="208"/>
      <c r="E183" s="208"/>
      <c r="I183"/>
      <c r="J183"/>
      <c r="K183"/>
      <c r="L183"/>
    </row>
    <row r="184" spans="2:12" ht="12.75">
      <c r="B184" s="208"/>
      <c r="C184" s="208"/>
      <c r="D184" s="208"/>
      <c r="E184" s="208"/>
      <c r="I184"/>
      <c r="J184"/>
      <c r="K184"/>
      <c r="L184"/>
    </row>
    <row r="185" spans="2:12" ht="12.75">
      <c r="B185" s="208"/>
      <c r="C185" s="208"/>
      <c r="D185" s="208"/>
      <c r="E185" s="208"/>
      <c r="I185"/>
      <c r="J185"/>
      <c r="K185"/>
      <c r="L185"/>
    </row>
    <row r="186" spans="2:12" ht="12.75">
      <c r="B186" s="208"/>
      <c r="C186" s="208"/>
      <c r="D186" s="208"/>
      <c r="E186" s="208"/>
      <c r="I186"/>
      <c r="J186"/>
      <c r="K186"/>
      <c r="L186"/>
    </row>
    <row r="187" spans="2:12" ht="12.75" customHeight="1">
      <c r="B187" s="208"/>
      <c r="C187" s="208"/>
      <c r="D187" s="208"/>
      <c r="E187" s="208"/>
      <c r="I187"/>
      <c r="J187"/>
      <c r="K187"/>
      <c r="L187"/>
    </row>
    <row r="188" spans="2:12" ht="12.75">
      <c r="B188" s="208"/>
      <c r="C188" s="208"/>
      <c r="D188" s="208"/>
      <c r="E188" s="208"/>
      <c r="I188"/>
      <c r="J188"/>
      <c r="K188"/>
      <c r="L188"/>
    </row>
    <row r="189" spans="2:12" ht="12.75">
      <c r="B189" s="208"/>
      <c r="C189" s="208"/>
      <c r="D189" s="208"/>
      <c r="E189" s="208"/>
      <c r="I189"/>
      <c r="J189"/>
      <c r="K189"/>
      <c r="L189"/>
    </row>
    <row r="190" spans="2:12" ht="12.75">
      <c r="B190" s="208"/>
      <c r="C190" s="208"/>
      <c r="D190" s="208"/>
      <c r="E190" s="208"/>
      <c r="I190"/>
      <c r="J190"/>
      <c r="K190"/>
      <c r="L190"/>
    </row>
    <row r="191" spans="2:12" ht="12.75">
      <c r="B191" s="208"/>
      <c r="C191" s="208"/>
      <c r="D191" s="208"/>
      <c r="E191" s="208"/>
      <c r="I191"/>
      <c r="J191"/>
      <c r="K191"/>
      <c r="L191"/>
    </row>
    <row r="192" spans="2:12" ht="12.75">
      <c r="B192" s="208"/>
      <c r="C192" s="208"/>
      <c r="D192" s="208"/>
      <c r="E192" s="208"/>
      <c r="I192"/>
      <c r="J192"/>
      <c r="K192"/>
      <c r="L192"/>
    </row>
    <row r="193" spans="2:12" ht="12.75">
      <c r="B193" s="208"/>
      <c r="C193" s="208"/>
      <c r="D193" s="208"/>
      <c r="E193" s="208"/>
      <c r="I193"/>
      <c r="J193"/>
      <c r="K193"/>
      <c r="L193"/>
    </row>
    <row r="194" spans="2:12" ht="12.75">
      <c r="B194" s="208"/>
      <c r="C194" s="208"/>
      <c r="D194" s="208"/>
      <c r="E194" s="208"/>
      <c r="I194"/>
      <c r="J194"/>
      <c r="K194"/>
      <c r="L194"/>
    </row>
    <row r="195" spans="2:12" ht="12.75">
      <c r="B195" s="208"/>
      <c r="C195" s="208"/>
      <c r="D195" s="208"/>
      <c r="E195" s="208"/>
      <c r="I195"/>
      <c r="J195"/>
      <c r="K195"/>
      <c r="L195"/>
    </row>
    <row r="196" spans="2:12" ht="12.75">
      <c r="B196" s="208"/>
      <c r="C196" s="208"/>
      <c r="D196" s="208"/>
      <c r="E196" s="208"/>
      <c r="I196"/>
      <c r="J196"/>
      <c r="K196"/>
      <c r="L196"/>
    </row>
    <row r="197" spans="2:12" ht="12.75">
      <c r="B197" s="208"/>
      <c r="C197" s="208"/>
      <c r="D197" s="208"/>
      <c r="E197" s="208"/>
      <c r="I197"/>
      <c r="J197"/>
      <c r="K197"/>
      <c r="L197"/>
    </row>
    <row r="198" spans="2:12" ht="12.75">
      <c r="B198" s="208"/>
      <c r="C198" s="208"/>
      <c r="D198" s="208"/>
      <c r="E198" s="208"/>
      <c r="I198"/>
      <c r="J198"/>
      <c r="K198"/>
      <c r="L198"/>
    </row>
    <row r="199" spans="2:12" ht="12.75">
      <c r="B199" s="208"/>
      <c r="C199" s="208"/>
      <c r="D199" s="208"/>
      <c r="E199" s="208"/>
      <c r="I199"/>
      <c r="J199"/>
      <c r="K199"/>
      <c r="L199"/>
    </row>
    <row r="200" spans="2:12" ht="12.75">
      <c r="B200" s="208"/>
      <c r="C200" s="208"/>
      <c r="D200" s="208"/>
      <c r="E200" s="208"/>
      <c r="I200"/>
      <c r="J200"/>
      <c r="K200"/>
      <c r="L200"/>
    </row>
    <row r="201" spans="2:12" ht="12.75">
      <c r="B201" s="208"/>
      <c r="C201" s="208"/>
      <c r="D201" s="208"/>
      <c r="E201" s="208"/>
      <c r="I201"/>
      <c r="J201"/>
      <c r="K201"/>
      <c r="L201"/>
    </row>
    <row r="202" spans="2:12" ht="12.75">
      <c r="B202" s="208"/>
      <c r="C202" s="208"/>
      <c r="D202" s="208"/>
      <c r="E202" s="208"/>
      <c r="I202"/>
      <c r="J202"/>
      <c r="K202"/>
      <c r="L202"/>
    </row>
    <row r="203" spans="2:12" ht="12.75">
      <c r="B203" s="208"/>
      <c r="C203" s="208"/>
      <c r="D203" s="208"/>
      <c r="E203" s="208"/>
      <c r="I203"/>
      <c r="J203"/>
      <c r="K203"/>
      <c r="L203"/>
    </row>
    <row r="204" spans="2:12" ht="12.75">
      <c r="B204" s="208"/>
      <c r="C204" s="208"/>
      <c r="D204" s="208"/>
      <c r="E204" s="208"/>
      <c r="I204"/>
      <c r="J204"/>
      <c r="K204"/>
      <c r="L204"/>
    </row>
    <row r="205" spans="2:12" ht="12.75">
      <c r="B205" s="208"/>
      <c r="C205" s="208"/>
      <c r="D205" s="208"/>
      <c r="E205" s="208"/>
      <c r="I205"/>
      <c r="J205"/>
      <c r="K205"/>
      <c r="L205"/>
    </row>
    <row r="206" spans="2:12" ht="12.75">
      <c r="B206" s="208"/>
      <c r="C206" s="208"/>
      <c r="D206" s="208"/>
      <c r="E206" s="208"/>
      <c r="I206"/>
      <c r="J206"/>
      <c r="K206"/>
      <c r="L206"/>
    </row>
    <row r="207" spans="2:12" ht="12.75">
      <c r="B207" s="208"/>
      <c r="C207" s="208"/>
      <c r="D207" s="208"/>
      <c r="E207" s="208"/>
      <c r="I207"/>
      <c r="J207"/>
      <c r="K207"/>
      <c r="L207"/>
    </row>
    <row r="208" spans="2:12" ht="12.75">
      <c r="B208" s="208"/>
      <c r="C208" s="208"/>
      <c r="D208" s="208"/>
      <c r="E208" s="208"/>
      <c r="I208"/>
      <c r="J208"/>
      <c r="K208"/>
      <c r="L208"/>
    </row>
    <row r="209" spans="2:12" ht="12.75">
      <c r="B209" s="208"/>
      <c r="C209" s="208"/>
      <c r="D209" s="208"/>
      <c r="E209" s="208"/>
      <c r="I209"/>
      <c r="J209"/>
      <c r="K209"/>
      <c r="L209"/>
    </row>
    <row r="210" spans="2:12" ht="12.75">
      <c r="B210" s="208"/>
      <c r="C210" s="208"/>
      <c r="D210" s="208"/>
      <c r="E210" s="208"/>
      <c r="I210"/>
      <c r="J210"/>
      <c r="K210"/>
      <c r="L210"/>
    </row>
    <row r="211" spans="2:12" ht="12.75">
      <c r="B211" s="208"/>
      <c r="C211" s="208"/>
      <c r="D211" s="208"/>
      <c r="E211" s="208"/>
      <c r="I211"/>
      <c r="J211"/>
      <c r="K211"/>
      <c r="L211"/>
    </row>
    <row r="212" spans="2:12" ht="12.75">
      <c r="B212" s="208"/>
      <c r="C212" s="208"/>
      <c r="D212" s="208"/>
      <c r="E212" s="208"/>
      <c r="I212"/>
      <c r="J212"/>
      <c r="K212"/>
      <c r="L212"/>
    </row>
    <row r="213" spans="2:12" ht="12.75">
      <c r="B213" s="208"/>
      <c r="C213" s="208"/>
      <c r="D213" s="208"/>
      <c r="E213" s="208"/>
      <c r="I213"/>
      <c r="J213"/>
      <c r="K213"/>
      <c r="L213"/>
    </row>
    <row r="214" spans="2:12" ht="12.75">
      <c r="B214" s="208"/>
      <c r="C214" s="208"/>
      <c r="D214" s="208"/>
      <c r="E214" s="208"/>
      <c r="I214"/>
      <c r="J214"/>
      <c r="K214"/>
      <c r="L214"/>
    </row>
    <row r="215" spans="2:12" ht="12.75">
      <c r="B215" s="208"/>
      <c r="C215" s="208"/>
      <c r="D215" s="208"/>
      <c r="E215" s="208"/>
      <c r="I215"/>
      <c r="J215"/>
      <c r="K215"/>
      <c r="L215"/>
    </row>
    <row r="216" spans="2:12" ht="12.75">
      <c r="B216" s="208"/>
      <c r="C216" s="208"/>
      <c r="D216" s="208"/>
      <c r="E216" s="208"/>
      <c r="I216"/>
      <c r="J216"/>
      <c r="K216"/>
      <c r="L216"/>
    </row>
    <row r="217" spans="2:12" ht="12.75">
      <c r="B217" s="208"/>
      <c r="C217" s="208"/>
      <c r="D217" s="208"/>
      <c r="E217" s="208"/>
      <c r="I217"/>
      <c r="J217"/>
      <c r="K217"/>
      <c r="L217"/>
    </row>
    <row r="218" spans="2:12" ht="12.75">
      <c r="B218" s="208"/>
      <c r="C218" s="208"/>
      <c r="D218" s="208"/>
      <c r="E218" s="208"/>
      <c r="I218"/>
      <c r="J218"/>
      <c r="K218"/>
      <c r="L218"/>
    </row>
    <row r="219" spans="2:12" ht="12.75">
      <c r="B219" s="208"/>
      <c r="C219" s="208"/>
      <c r="D219" s="208"/>
      <c r="E219" s="208"/>
      <c r="I219"/>
      <c r="J219"/>
      <c r="K219"/>
      <c r="L219"/>
    </row>
    <row r="220" spans="2:12" ht="12.75">
      <c r="B220" s="208"/>
      <c r="C220" s="208"/>
      <c r="D220" s="208"/>
      <c r="E220" s="208"/>
      <c r="I220"/>
      <c r="J220"/>
      <c r="K220"/>
      <c r="L220"/>
    </row>
    <row r="221" spans="2:12" ht="12.75">
      <c r="B221" s="208"/>
      <c r="C221" s="208"/>
      <c r="D221" s="208"/>
      <c r="E221" s="208"/>
      <c r="I221"/>
      <c r="J221"/>
      <c r="K221"/>
      <c r="L221"/>
    </row>
    <row r="222" spans="2:12" ht="12.75">
      <c r="B222" s="208"/>
      <c r="C222" s="208"/>
      <c r="D222" s="208"/>
      <c r="E222" s="208"/>
      <c r="I222"/>
      <c r="J222"/>
      <c r="K222"/>
      <c r="L222"/>
    </row>
    <row r="223" spans="2:12" ht="12.75">
      <c r="B223" s="208"/>
      <c r="C223" s="208"/>
      <c r="D223" s="208"/>
      <c r="E223" s="208"/>
      <c r="I223"/>
      <c r="J223"/>
      <c r="K223"/>
      <c r="L223"/>
    </row>
    <row r="224" spans="2:12" ht="12.75">
      <c r="B224" s="208"/>
      <c r="C224" s="208"/>
      <c r="D224" s="208"/>
      <c r="E224" s="208"/>
      <c r="I224"/>
      <c r="J224"/>
      <c r="K224"/>
      <c r="L224"/>
    </row>
    <row r="225" spans="2:12" ht="12.75">
      <c r="B225" s="208"/>
      <c r="C225" s="208"/>
      <c r="D225" s="208"/>
      <c r="E225" s="208"/>
      <c r="I225"/>
      <c r="J225"/>
      <c r="K225"/>
      <c r="L225"/>
    </row>
    <row r="226" spans="2:12" ht="12.75">
      <c r="B226" s="208"/>
      <c r="C226" s="208"/>
      <c r="D226" s="208"/>
      <c r="E226" s="208"/>
      <c r="I226"/>
      <c r="J226"/>
      <c r="K226"/>
      <c r="L226"/>
    </row>
    <row r="227" spans="2:5" ht="12.75">
      <c r="B227" s="208"/>
      <c r="C227" s="208"/>
      <c r="D227" s="208"/>
      <c r="E227" s="208"/>
    </row>
    <row r="228" spans="2:5" ht="12.75">
      <c r="B228" s="208"/>
      <c r="C228" s="208"/>
      <c r="D228" s="208"/>
      <c r="E228" s="208"/>
    </row>
    <row r="229" spans="2:5" ht="12.75">
      <c r="B229" s="208"/>
      <c r="C229" s="208"/>
      <c r="D229" s="208"/>
      <c r="E229" s="208"/>
    </row>
  </sheetData>
  <sheetProtection/>
  <mergeCells count="4">
    <mergeCell ref="C7:F7"/>
    <mergeCell ref="AB29:AG29"/>
    <mergeCell ref="AB4:AG4"/>
    <mergeCell ref="AB18:AG18"/>
  </mergeCells>
  <printOptions/>
  <pageMargins left="0.787401575" right="0.787401575" top="0.984251969" bottom="0.984251969" header="0.492125985" footer="0.492125985"/>
  <pageSetup horizontalDpi="600" verticalDpi="600" orientation="portrait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/>
  <dimension ref="A1:L105"/>
  <sheetViews>
    <sheetView zoomScale="80" zoomScaleNormal="80" zoomScalePageLayoutView="0" workbookViewId="0" topLeftCell="B6">
      <selection activeCell="G19" sqref="G19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5" width="16.140625" style="1" customWidth="1"/>
    <col min="6" max="6" width="18.140625" style="1" customWidth="1"/>
    <col min="7" max="7" width="15.140625" style="1" customWidth="1"/>
    <col min="8" max="8" width="8.00390625" style="1" customWidth="1"/>
    <col min="9" max="16384" width="9.140625" style="1" customWidth="1"/>
  </cols>
  <sheetData>
    <row r="1" spans="1:9" ht="21" thickBot="1">
      <c r="A1"/>
      <c r="B1"/>
      <c r="C1"/>
      <c r="D1"/>
      <c r="E1"/>
      <c r="F1"/>
      <c r="G1"/>
      <c r="H1"/>
      <c r="I1"/>
    </row>
    <row r="2" spans="1:9" ht="30">
      <c r="A2"/>
      <c r="B2" s="222" t="s">
        <v>52</v>
      </c>
      <c r="C2" s="223"/>
      <c r="D2" s="223"/>
      <c r="E2" s="223"/>
      <c r="F2" s="223"/>
      <c r="G2" s="223"/>
      <c r="H2" s="224"/>
      <c r="I2"/>
    </row>
    <row r="3" spans="1:9" ht="20.25">
      <c r="A3"/>
      <c r="B3" s="225" t="s">
        <v>53</v>
      </c>
      <c r="C3" s="226"/>
      <c r="D3" s="226"/>
      <c r="E3" s="226"/>
      <c r="F3" s="226"/>
      <c r="G3" s="226"/>
      <c r="H3" s="227"/>
      <c r="I3"/>
    </row>
    <row r="4" spans="1:9" ht="21" thickBot="1">
      <c r="A4"/>
      <c r="B4" s="230" t="s">
        <v>170</v>
      </c>
      <c r="C4" s="228"/>
      <c r="D4" s="228"/>
      <c r="E4" s="228"/>
      <c r="F4" s="228"/>
      <c r="G4" s="228"/>
      <c r="H4" s="229"/>
      <c r="I4"/>
    </row>
    <row r="5" spans="1:9" ht="11.25" customHeight="1" thickBot="1">
      <c r="A5" s="134"/>
      <c r="B5" s="134"/>
      <c r="C5" s="134"/>
      <c r="D5" s="134"/>
      <c r="E5" s="134"/>
      <c r="F5" s="134"/>
      <c r="G5" s="134"/>
      <c r="H5" s="134"/>
      <c r="I5" s="134"/>
    </row>
    <row r="6" spans="1:9" ht="21" thickBot="1">
      <c r="A6"/>
      <c r="B6" s="233" t="s">
        <v>207</v>
      </c>
      <c r="C6" s="231"/>
      <c r="D6" s="231"/>
      <c r="E6" s="231"/>
      <c r="F6" s="231"/>
      <c r="G6" s="231"/>
      <c r="H6" s="232"/>
      <c r="I6"/>
    </row>
    <row r="7" spans="1:12" ht="12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2:8" ht="26.25" customHeight="1">
      <c r="B8" s="153" t="s">
        <v>24</v>
      </c>
      <c r="C8" s="154"/>
      <c r="D8" s="154"/>
      <c r="E8" s="154"/>
      <c r="F8" s="154"/>
      <c r="G8" s="154"/>
      <c r="H8" s="154"/>
    </row>
    <row r="9" ht="12" customHeight="1" thickBot="1">
      <c r="F9" s="350" t="s">
        <v>13</v>
      </c>
    </row>
    <row r="10" spans="2:8" ht="26.25" customHeight="1" thickBot="1">
      <c r="B10" s="302" t="s">
        <v>11</v>
      </c>
      <c r="C10" s="303"/>
      <c r="D10" s="303"/>
      <c r="E10" s="303"/>
      <c r="F10" s="304" t="str">
        <f>+D73</f>
        <v>Juros Compostos</v>
      </c>
      <c r="G10" s="305"/>
      <c r="H10" s="306"/>
    </row>
    <row r="11" spans="2:8" ht="26.25" customHeight="1" thickBot="1">
      <c r="B11" s="2" t="s">
        <v>41</v>
      </c>
      <c r="C11" s="2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4" t="s">
        <v>5</v>
      </c>
    </row>
    <row r="12" spans="2:8" ht="26.25" customHeight="1" thickBot="1">
      <c r="B12" s="307">
        <v>3</v>
      </c>
      <c r="C12" s="308">
        <v>3</v>
      </c>
      <c r="D12" s="309">
        <v>0.03</v>
      </c>
      <c r="E12" s="310">
        <v>400</v>
      </c>
      <c r="F12" s="311" t="s">
        <v>6</v>
      </c>
      <c r="G12" s="310"/>
      <c r="H12" s="312">
        <v>1</v>
      </c>
    </row>
    <row r="13" spans="2:9" ht="26.25" customHeight="1" thickBot="1">
      <c r="B13" s="330" t="str">
        <f>CHOOSE(B12,"Juros Simples","Desconto Comercial","Juros Compostos")</f>
        <v>Juros Compostos</v>
      </c>
      <c r="C13" s="331">
        <f>IF(C12="?",VLOOKUP($B$12,$B$80:$G$82,C79),"")</f>
      </c>
      <c r="D13" s="332">
        <f>IF(D12="?",VLOOKUP($B$12,$B$80:$G$82,D79),"")</f>
      </c>
      <c r="E13" s="333">
        <f>IF(E12="?",VLOOKUP($B$12,$B$80:$G$82,E79),"")</f>
      </c>
      <c r="F13" s="333">
        <f>IF(F12="?",VLOOKUP($B$12,$B$80:$G$82,F79),"")</f>
        <v>-137.29334498042638</v>
      </c>
      <c r="G13" s="333">
        <f>IF(G12="?",VLOOKUP($B$12,$B$80:$G$82,G79),"")</f>
      </c>
      <c r="H13" s="334" t="str">
        <f>IF(H12=0,"Post","Antec")</f>
        <v>Antec</v>
      </c>
      <c r="I13" s="31" t="s">
        <v>14</v>
      </c>
    </row>
    <row r="14" spans="2:9" ht="26.25" customHeight="1">
      <c r="B14" s="155"/>
      <c r="C14" s="155"/>
      <c r="D14" s="348" t="s">
        <v>35</v>
      </c>
      <c r="E14" s="156" t="str">
        <f>+G62</f>
        <v>[f] [REG] 3 [n] 3 [i] 400 [PV] [g] [BEG] [PMT] Visor =&gt; -137,2933</v>
      </c>
      <c r="F14" s="157"/>
      <c r="G14" s="157"/>
      <c r="H14" s="158"/>
      <c r="I14" s="32" t="s">
        <v>33</v>
      </c>
    </row>
    <row r="15" spans="2:8" ht="26.25" customHeight="1" thickBot="1">
      <c r="B15" s="155"/>
      <c r="C15" s="155"/>
      <c r="D15" s="349" t="s">
        <v>36</v>
      </c>
      <c r="E15" s="159"/>
      <c r="F15" s="159"/>
      <c r="G15" s="159"/>
      <c r="H15" s="160"/>
    </row>
    <row r="16" ht="9" customHeight="1" thickBot="1">
      <c r="F16" s="39"/>
    </row>
    <row r="17" spans="2:7" ht="21" thickBot="1">
      <c r="B17" s="320" t="s">
        <v>12</v>
      </c>
      <c r="C17" s="321"/>
      <c r="D17" s="321"/>
      <c r="E17" s="322"/>
      <c r="G17" s="36"/>
    </row>
    <row r="18" spans="2:7" ht="21" thickBot="1">
      <c r="B18" s="42" t="s">
        <v>7</v>
      </c>
      <c r="C18" s="43" t="s">
        <v>8</v>
      </c>
      <c r="D18" s="43" t="s">
        <v>9</v>
      </c>
      <c r="E18" s="44" t="s">
        <v>10</v>
      </c>
      <c r="G18" s="36"/>
    </row>
    <row r="19" spans="2:7" ht="20.25">
      <c r="B19" s="313">
        <v>0.08</v>
      </c>
      <c r="C19" s="314">
        <v>12</v>
      </c>
      <c r="D19" s="315" t="s">
        <v>6</v>
      </c>
      <c r="E19" s="316">
        <v>1</v>
      </c>
      <c r="G19" s="36"/>
    </row>
    <row r="20" spans="2:7" ht="21" thickBot="1">
      <c r="B20" s="5"/>
      <c r="C20" s="6"/>
      <c r="D20" s="328">
        <f>IF(D19="?",((1+B19)^(C19/E19))-1,"")</f>
        <v>1.5181701168189798</v>
      </c>
      <c r="E20" s="329">
        <f>IF(E19="?",(LN(1+B19)^C19)/LN(1+D19),"")</f>
      </c>
      <c r="G20" s="37"/>
    </row>
    <row r="21" spans="4:7" ht="21" thickBot="1">
      <c r="D21" s="161"/>
      <c r="E21" s="162"/>
      <c r="G21" s="37"/>
    </row>
    <row r="22" spans="2:7" ht="21" thickBot="1">
      <c r="B22" s="320" t="s">
        <v>28</v>
      </c>
      <c r="C22" s="321"/>
      <c r="D22" s="323"/>
      <c r="E22" s="322"/>
      <c r="G22" s="40"/>
    </row>
    <row r="23" spans="2:7" ht="21" thickBot="1">
      <c r="B23" s="42" t="s">
        <v>29</v>
      </c>
      <c r="C23" s="43" t="s">
        <v>30</v>
      </c>
      <c r="D23" s="43" t="s">
        <v>38</v>
      </c>
      <c r="E23" s="44" t="s">
        <v>39</v>
      </c>
      <c r="G23" s="37"/>
    </row>
    <row r="24" spans="2:7" ht="20.25">
      <c r="B24" s="317">
        <v>36892</v>
      </c>
      <c r="C24" s="318">
        <v>37047</v>
      </c>
      <c r="D24" s="315"/>
      <c r="E24" s="319"/>
      <c r="G24" s="36"/>
    </row>
    <row r="25" spans="2:7" ht="21" thickBot="1">
      <c r="B25" s="324">
        <f>IF(B24="?",+C24-E24,"")</f>
      </c>
      <c r="C25" s="325">
        <f>IF(C24="?",+B24+E24,"")</f>
      </c>
      <c r="D25" s="326">
        <f>IF(D24="?",_XLL.DIATRABALHOTOTAL(B24,C24,feriados)-1,"")</f>
      </c>
      <c r="E25" s="327">
        <f>IF(E24="?",+C24-B24,"")</f>
      </c>
      <c r="G25" s="36"/>
    </row>
    <row r="26" spans="2:8" ht="20.25">
      <c r="B26" s="25" t="s">
        <v>40</v>
      </c>
      <c r="C26" s="26"/>
      <c r="D26" s="26"/>
      <c r="E26" s="27"/>
      <c r="H26" s="38"/>
    </row>
    <row r="27" spans="2:7" ht="20.25">
      <c r="B27" s="47" t="s">
        <v>32</v>
      </c>
      <c r="C27" s="45"/>
      <c r="D27" s="46">
        <f>MAX(feriados)</f>
        <v>37615</v>
      </c>
      <c r="E27" s="48" t="str">
        <f>IF(C24&gt;D27,"Faltam feriados","Ok")</f>
        <v>Ok</v>
      </c>
      <c r="G27" s="35"/>
    </row>
    <row r="28" spans="2:5" ht="21" thickBot="1">
      <c r="B28" s="28" t="s">
        <v>42</v>
      </c>
      <c r="C28" s="29"/>
      <c r="D28" s="30">
        <f>MIN(feriados)</f>
        <v>36892</v>
      </c>
      <c r="E28" s="41" t="str">
        <f>IF(C24&lt;D28,"Faltam feriados","Ok")</f>
        <v>Ok</v>
      </c>
    </row>
    <row r="40" ht="21" thickBot="1"/>
    <row r="41" spans="2:8" ht="21" thickBot="1">
      <c r="B41" s="62" t="s">
        <v>37</v>
      </c>
      <c r="C41" s="60"/>
      <c r="D41" s="60"/>
      <c r="E41" s="60"/>
      <c r="F41" s="60"/>
      <c r="G41" s="60"/>
      <c r="H41" s="61"/>
    </row>
    <row r="42" spans="2:8" ht="20.25">
      <c r="B42" s="335">
        <v>36892</v>
      </c>
      <c r="C42" s="336">
        <v>37257</v>
      </c>
      <c r="D42" s="337"/>
      <c r="E42" s="337"/>
      <c r="F42" s="337"/>
      <c r="G42" s="337"/>
      <c r="H42" s="338"/>
    </row>
    <row r="43" spans="2:8" ht="20.25">
      <c r="B43" s="339">
        <v>36948</v>
      </c>
      <c r="C43" s="340">
        <v>37298</v>
      </c>
      <c r="D43" s="341"/>
      <c r="E43" s="341"/>
      <c r="F43" s="341"/>
      <c r="G43" s="341"/>
      <c r="H43" s="342"/>
    </row>
    <row r="44" spans="2:8" ht="20.25">
      <c r="B44" s="339">
        <v>36949</v>
      </c>
      <c r="C44" s="340">
        <v>37299</v>
      </c>
      <c r="D44" s="341"/>
      <c r="E44" s="341"/>
      <c r="F44" s="341"/>
      <c r="G44" s="341"/>
      <c r="H44" s="342"/>
    </row>
    <row r="45" spans="2:8" ht="20.25">
      <c r="B45" s="339">
        <v>36994</v>
      </c>
      <c r="C45" s="340">
        <v>37344</v>
      </c>
      <c r="D45" s="341"/>
      <c r="E45" s="341"/>
      <c r="F45" s="341"/>
      <c r="G45" s="341"/>
      <c r="H45" s="342"/>
    </row>
    <row r="46" spans="2:8" ht="20.25">
      <c r="B46" s="339">
        <v>37002</v>
      </c>
      <c r="C46" s="340">
        <v>37367</v>
      </c>
      <c r="D46" s="341"/>
      <c r="E46" s="341"/>
      <c r="F46" s="341"/>
      <c r="G46" s="341"/>
      <c r="H46" s="342"/>
    </row>
    <row r="47" spans="2:8" ht="20.25">
      <c r="B47" s="339">
        <v>37012</v>
      </c>
      <c r="C47" s="340">
        <v>37377</v>
      </c>
      <c r="D47" s="341"/>
      <c r="E47" s="341"/>
      <c r="F47" s="341"/>
      <c r="G47" s="341"/>
      <c r="H47" s="342"/>
    </row>
    <row r="48" spans="2:8" ht="20.25">
      <c r="B48" s="339">
        <v>37056</v>
      </c>
      <c r="C48" s="340">
        <v>37406</v>
      </c>
      <c r="D48" s="341"/>
      <c r="E48" s="341"/>
      <c r="F48" s="341"/>
      <c r="G48" s="341"/>
      <c r="H48" s="342"/>
    </row>
    <row r="49" spans="2:8" ht="20.25">
      <c r="B49" s="339">
        <v>37141</v>
      </c>
      <c r="C49" s="340">
        <v>37506</v>
      </c>
      <c r="D49" s="341"/>
      <c r="E49" s="341"/>
      <c r="F49" s="341"/>
      <c r="G49" s="341"/>
      <c r="H49" s="342"/>
    </row>
    <row r="50" spans="2:8" ht="20.25">
      <c r="B50" s="339">
        <v>37176</v>
      </c>
      <c r="C50" s="340">
        <v>37602</v>
      </c>
      <c r="D50" s="341"/>
      <c r="E50" s="341"/>
      <c r="F50" s="341"/>
      <c r="G50" s="341"/>
      <c r="H50" s="342"/>
    </row>
    <row r="51" spans="2:8" ht="20.25">
      <c r="B51" s="339">
        <v>37197</v>
      </c>
      <c r="C51" s="340">
        <v>37562</v>
      </c>
      <c r="D51" s="341"/>
      <c r="E51" s="341"/>
      <c r="F51" s="341"/>
      <c r="G51" s="341"/>
      <c r="H51" s="342"/>
    </row>
    <row r="52" spans="2:8" ht="20.25">
      <c r="B52" s="339">
        <v>37210</v>
      </c>
      <c r="C52" s="340">
        <v>37575</v>
      </c>
      <c r="D52" s="341"/>
      <c r="E52" s="341"/>
      <c r="F52" s="341"/>
      <c r="G52" s="341"/>
      <c r="H52" s="342"/>
    </row>
    <row r="53" spans="2:8" ht="20.25">
      <c r="B53" s="339">
        <v>37250</v>
      </c>
      <c r="C53" s="340">
        <v>37615</v>
      </c>
      <c r="D53" s="341"/>
      <c r="E53" s="341"/>
      <c r="F53" s="341"/>
      <c r="G53" s="341"/>
      <c r="H53" s="342"/>
    </row>
    <row r="54" spans="2:8" ht="20.25">
      <c r="B54" s="343"/>
      <c r="C54" s="341"/>
      <c r="D54" s="341"/>
      <c r="E54" s="341"/>
      <c r="F54" s="341"/>
      <c r="G54" s="341"/>
      <c r="H54" s="342"/>
    </row>
    <row r="55" spans="2:8" ht="21" thickBot="1">
      <c r="B55" s="344"/>
      <c r="C55" s="345"/>
      <c r="D55" s="345"/>
      <c r="E55" s="345"/>
      <c r="F55" s="345"/>
      <c r="G55" s="345"/>
      <c r="H55" s="346"/>
    </row>
    <row r="57" spans="1:9" ht="20.25">
      <c r="A57" s="163"/>
      <c r="B57" s="163"/>
      <c r="C57" s="163">
        <f>IF(C12="?",1,"")</f>
      </c>
      <c r="D57" s="163">
        <f>IF(D12="?",2,"")</f>
      </c>
      <c r="E57" s="163">
        <f>IF(E12="?",3,"")</f>
      </c>
      <c r="F57" s="163">
        <f>IF(F12="?",4,"")</f>
        <v>4</v>
      </c>
      <c r="G57" s="163">
        <f>IF(G12="?",5,"")</f>
      </c>
      <c r="H57" s="163"/>
      <c r="I57" s="163" t="s">
        <v>172</v>
      </c>
    </row>
    <row r="58" spans="1:9" ht="20.25">
      <c r="A58" s="347"/>
      <c r="B58" s="347"/>
      <c r="C58" s="347" t="str">
        <f aca="true" t="shared" si="0" ref="C58:H58">+C11</f>
        <v>N</v>
      </c>
      <c r="D58" s="347" t="str">
        <f t="shared" si="0"/>
        <v>I</v>
      </c>
      <c r="E58" s="347" t="str">
        <f t="shared" si="0"/>
        <v>PV</v>
      </c>
      <c r="F58" s="347" t="str">
        <f t="shared" si="0"/>
        <v>PMT</v>
      </c>
      <c r="G58" s="347" t="str">
        <f t="shared" si="0"/>
        <v>FV</v>
      </c>
      <c r="H58" s="347" t="str">
        <f t="shared" si="0"/>
        <v>TIPO</v>
      </c>
      <c r="I58" s="347" t="s">
        <v>172</v>
      </c>
    </row>
    <row r="59" spans="1:9" ht="20.25">
      <c r="A59" s="347" t="s">
        <v>173</v>
      </c>
      <c r="B59" s="163">
        <v>1</v>
      </c>
      <c r="C59" s="163" t="e">
        <f>CONCATENATE(ABS(G12)," [ENTER] ",ABS(E12)," [/] 1 [-] ",D12*100," [/] Visor =&gt; ",TEXT(ROUND(C13,4),"#0,0000"))</f>
        <v>#VALUE!</v>
      </c>
      <c r="D59" s="163" t="e">
        <f>CONCATENATE(ABS(G12)," [ENTER] ",ABS(E12)," [/] 1 [-] ",C12," [/] Visor =&gt; ",TEXT(ROUND(D13,4),"#0,0000"))</f>
        <v>#VALUE!</v>
      </c>
      <c r="E59" s="163" t="e">
        <f>CONCATENATE(ABS(G12)," [ENTER] ",D12," [ENTER]",C12," [x]"," 1 [+] [/] Visor =&gt; ",TEXT(ROUND(ABS(E13),4),"#0,0000"))</f>
        <v>#VALUE!</v>
      </c>
      <c r="F59" s="163" t="s">
        <v>174</v>
      </c>
      <c r="G59" s="163" t="e">
        <f>CONCATENATE(ABS(E12)," [ENTER] ",D12," [ENTER] ",C12," [x]"," 1 [+] [x] Visor =&gt; ",TEXT(ROUND(ABS(G13),4),"#0,0000"))</f>
        <v>#VALUE!</v>
      </c>
      <c r="H59" s="163"/>
      <c r="I59" s="163" t="s">
        <v>172</v>
      </c>
    </row>
    <row r="60" spans="1:9" ht="20.25">
      <c r="A60" s="347" t="s">
        <v>62</v>
      </c>
      <c r="B60" s="163">
        <v>2</v>
      </c>
      <c r="C60" s="163" t="e">
        <f>CONCATENATE(" 1 [ENTER] ",ABS(E12)," [ENTER] ",ABS(G12)," [/] [-] ",D12," [/] Visor =&gt; ",TEXT(ROUND(C13,4),"#0,0000"))</f>
        <v>#VALUE!</v>
      </c>
      <c r="D60" s="163" t="e">
        <f>CONCATENATE(" 1 [ENTER] ",ABS(E12)," [ENTER] ",ABS(G12)," [/] [-] ",C12," [/] Visor =&gt; ",TEXT(ROUND(D13,4),"#0,0000"))</f>
        <v>#VALUE!</v>
      </c>
      <c r="E60" s="163" t="e">
        <f>CONCATENATE(ABS(G12)," [ENTER] 1 [ENTER] ",D12," [ENTER] ",C12," [x] [-] [x] Visor =&gt; ",TEXT(ROUND(ABS(E13),4),"#0,0000"))</f>
        <v>#VALUE!</v>
      </c>
      <c r="F60" s="163" t="s">
        <v>174</v>
      </c>
      <c r="G60" s="163" t="e">
        <f>CONCATENATE(ABS(E12)," [ENTER] 1 [ENTER] ",D12," [ENTER] ",C12," [x] [-] [/] Visor =&gt; ",TEXT(ROUND(ABS(G13),4),"#0,0000"))</f>
        <v>#VALUE!</v>
      </c>
      <c r="H60" s="163"/>
      <c r="I60" s="163" t="s">
        <v>172</v>
      </c>
    </row>
    <row r="61" spans="1:9" ht="20.25">
      <c r="A61" s="347" t="s">
        <v>175</v>
      </c>
      <c r="B61" s="163">
        <v>3</v>
      </c>
      <c r="C61" s="163" t="e">
        <f>+C88</f>
        <v>#VALUE!</v>
      </c>
      <c r="D61" s="163" t="e">
        <f>+C89</f>
        <v>#VALUE!</v>
      </c>
      <c r="E61" s="163" t="e">
        <f>+C90</f>
        <v>#VALUE!</v>
      </c>
      <c r="F61" s="163" t="str">
        <f>+C91</f>
        <v>[f] [REG] 3 [n] 3 [i] 400 [PV] [g] [BEG] [PMT] Visor =&gt; -137,2933</v>
      </c>
      <c r="G61" s="163" t="e">
        <f>+C92</f>
        <v>#VALUE!</v>
      </c>
      <c r="H61" s="163"/>
      <c r="I61" s="163" t="s">
        <v>172</v>
      </c>
    </row>
    <row r="62" spans="1:9" ht="20.25">
      <c r="A62" s="347" t="s">
        <v>176</v>
      </c>
      <c r="B62" s="164"/>
      <c r="C62" s="164">
        <f>+B12</f>
        <v>3</v>
      </c>
      <c r="D62" s="164" t="s">
        <v>144</v>
      </c>
      <c r="E62" s="164">
        <f>MAX(B57:G57)</f>
        <v>4</v>
      </c>
      <c r="F62" s="164" t="s">
        <v>177</v>
      </c>
      <c r="G62" s="164" t="str">
        <f>VLOOKUP(B12,B59:G61,E62+1)</f>
        <v>[f] [REG] 3 [n] 3 [i] 400 [PV] [g] [BEG] [PMT] Visor =&gt; -137,2933</v>
      </c>
      <c r="H62" s="164"/>
      <c r="I62" s="164" t="s">
        <v>172</v>
      </c>
    </row>
    <row r="72" spans="1:9" ht="21" thickBot="1">
      <c r="A72" s="165"/>
      <c r="B72" s="165"/>
      <c r="C72" s="165"/>
      <c r="D72" s="165"/>
      <c r="E72" s="165"/>
      <c r="F72" s="165"/>
      <c r="G72" s="165"/>
      <c r="H72" s="165"/>
      <c r="I72" s="165"/>
    </row>
    <row r="73" spans="1:9" ht="20.25">
      <c r="A73" s="165"/>
      <c r="B73" s="166" t="s">
        <v>20</v>
      </c>
      <c r="C73" s="167">
        <f>+B12</f>
        <v>3</v>
      </c>
      <c r="D73" s="168" t="str">
        <f>CHOOSE(B12,"Juros Simples","Desconto Comercial","Juros Compostos")</f>
        <v>Juros Compostos</v>
      </c>
      <c r="E73" s="168"/>
      <c r="F73" s="168" t="s">
        <v>31</v>
      </c>
      <c r="G73" s="168"/>
      <c r="H73" s="169"/>
      <c r="I73" s="165"/>
    </row>
    <row r="74" spans="1:9" ht="20.25">
      <c r="A74" s="165"/>
      <c r="B74" s="170"/>
      <c r="C74" s="171" t="s">
        <v>21</v>
      </c>
      <c r="D74" s="172"/>
      <c r="E74" s="172"/>
      <c r="F74" s="172"/>
      <c r="G74" s="172"/>
      <c r="H74" s="173"/>
      <c r="I74" s="165"/>
    </row>
    <row r="75" spans="1:9" ht="20.25">
      <c r="A75" s="165"/>
      <c r="B75" s="170"/>
      <c r="C75" s="171" t="s">
        <v>22</v>
      </c>
      <c r="D75" s="172"/>
      <c r="E75" s="172"/>
      <c r="F75" s="172"/>
      <c r="G75" s="172"/>
      <c r="H75" s="173"/>
      <c r="I75" s="165"/>
    </row>
    <row r="76" spans="1:9" ht="21" thickBot="1">
      <c r="A76" s="165"/>
      <c r="B76" s="174"/>
      <c r="C76" s="175" t="s">
        <v>23</v>
      </c>
      <c r="D76" s="176"/>
      <c r="E76" s="176"/>
      <c r="F76" s="176"/>
      <c r="G76" s="176"/>
      <c r="H76" s="177"/>
      <c r="I76" s="165"/>
    </row>
    <row r="77" spans="1:9" ht="21" thickBot="1">
      <c r="A77" s="165"/>
      <c r="B77" s="178"/>
      <c r="C77" s="178"/>
      <c r="D77" s="178"/>
      <c r="E77" s="178"/>
      <c r="F77" s="178"/>
      <c r="G77" s="178"/>
      <c r="H77" s="178"/>
      <c r="I77" s="165"/>
    </row>
    <row r="78" spans="1:9" ht="20.25">
      <c r="A78" s="165"/>
      <c r="B78" s="179" t="s">
        <v>178</v>
      </c>
      <c r="C78" s="180"/>
      <c r="D78" s="180"/>
      <c r="E78" s="180"/>
      <c r="F78" s="180"/>
      <c r="G78" s="181"/>
      <c r="H78" s="178"/>
      <c r="I78" s="165"/>
    </row>
    <row r="79" spans="1:9" ht="20.25">
      <c r="A79" s="165"/>
      <c r="B79" s="182"/>
      <c r="C79" s="183">
        <v>2</v>
      </c>
      <c r="D79" s="183">
        <f>+C79+1</f>
        <v>3</v>
      </c>
      <c r="E79" s="183">
        <f>+D79+1</f>
        <v>4</v>
      </c>
      <c r="F79" s="183">
        <f>+E79+1</f>
        <v>5</v>
      </c>
      <c r="G79" s="184">
        <f>+F79+1</f>
        <v>6</v>
      </c>
      <c r="H79" s="178"/>
      <c r="I79" s="165"/>
    </row>
    <row r="80" spans="1:9" ht="20.25">
      <c r="A80" s="165"/>
      <c r="B80" s="182">
        <v>1</v>
      </c>
      <c r="C80" s="185">
        <f>((-G12/E12)-1)/D12</f>
        <v>-33.333333333333336</v>
      </c>
      <c r="D80" s="186">
        <f>((-G12/E12)-1)/C12</f>
        <v>-0.3333333333333333</v>
      </c>
      <c r="E80" s="185">
        <f>-G12/(1+D12*C12)</f>
        <v>0</v>
      </c>
      <c r="F80" s="187" t="s">
        <v>25</v>
      </c>
      <c r="G80" s="188">
        <f>-E12*(1+D12*C12)</f>
        <v>-436.00000000000006</v>
      </c>
      <c r="H80" s="178"/>
      <c r="I80" s="165"/>
    </row>
    <row r="81" spans="1:9" ht="20.25">
      <c r="A81" s="165"/>
      <c r="B81" s="182">
        <v>2</v>
      </c>
      <c r="C81" s="185" t="e">
        <f>+(1-(-E12/G12))/D12</f>
        <v>#DIV/0!</v>
      </c>
      <c r="D81" s="186" t="e">
        <f>+(1-(-E12/G12))/C12</f>
        <v>#DIV/0!</v>
      </c>
      <c r="E81" s="185">
        <f>-G12*(1-D12*C12)</f>
        <v>0</v>
      </c>
      <c r="F81" s="187" t="s">
        <v>25</v>
      </c>
      <c r="G81" s="188">
        <f>-E12/(1-D12*C12)</f>
        <v>-439.56043956043953</v>
      </c>
      <c r="H81" s="178"/>
      <c r="I81" s="165"/>
    </row>
    <row r="82" spans="1:9" ht="21" thickBot="1">
      <c r="A82" s="165"/>
      <c r="B82" s="189">
        <v>3</v>
      </c>
      <c r="C82" s="190" t="e">
        <f>NPER(D12,F12,E12,G12,H12)</f>
        <v>#VALUE!</v>
      </c>
      <c r="D82" s="191" t="e">
        <f>RATE(C12,F12,E12,G12,H12)</f>
        <v>#VALUE!</v>
      </c>
      <c r="E82" s="190" t="e">
        <f>PV(D12,C12,F12,G12,H12)</f>
        <v>#VALUE!</v>
      </c>
      <c r="F82" s="190">
        <f>PMT(D12,C12,E12,G12,H12)</f>
        <v>-137.29334498042638</v>
      </c>
      <c r="G82" s="192" t="e">
        <f>FV(D12,C12,F12,E12,H12)</f>
        <v>#VALUE!</v>
      </c>
      <c r="H82" s="178"/>
      <c r="I82" s="165"/>
    </row>
    <row r="83" spans="1:9" ht="21" thickBot="1">
      <c r="A83" s="165"/>
      <c r="B83" s="178"/>
      <c r="C83" s="178"/>
      <c r="D83" s="178"/>
      <c r="E83" s="178"/>
      <c r="F83" s="178"/>
      <c r="G83" s="178"/>
      <c r="H83" s="178"/>
      <c r="I83" s="165"/>
    </row>
    <row r="84" spans="1:9" ht="20.25">
      <c r="A84" s="165"/>
      <c r="B84" s="193" t="s">
        <v>34</v>
      </c>
      <c r="C84" s="194"/>
      <c r="D84" s="194"/>
      <c r="E84" s="194"/>
      <c r="F84" s="194"/>
      <c r="G84" s="194"/>
      <c r="H84" s="195"/>
      <c r="I84" s="165"/>
    </row>
    <row r="85" spans="1:9" ht="20.25">
      <c r="A85" s="165"/>
      <c r="B85" s="196" t="s">
        <v>26</v>
      </c>
      <c r="C85" s="197" t="s">
        <v>0</v>
      </c>
      <c r="D85" s="197" t="s">
        <v>1</v>
      </c>
      <c r="E85" s="197" t="s">
        <v>2</v>
      </c>
      <c r="F85" s="197" t="s">
        <v>3</v>
      </c>
      <c r="G85" s="197" t="s">
        <v>4</v>
      </c>
      <c r="H85" s="198" t="s">
        <v>5</v>
      </c>
      <c r="I85" s="165"/>
    </row>
    <row r="86" spans="1:9" ht="20.25">
      <c r="A86" s="165"/>
      <c r="B86" s="199"/>
      <c r="C86" s="200"/>
      <c r="D86" s="200"/>
      <c r="E86" s="200">
        <f>IF(E12&lt;0," [CHS] ","")</f>
      </c>
      <c r="F86" s="200">
        <f>IF(F12&lt;0," [CHS] ","")</f>
      </c>
      <c r="G86" s="200">
        <f>IF(G12&lt;0," [CHS] ","")</f>
      </c>
      <c r="H86" s="201"/>
      <c r="I86" s="165"/>
    </row>
    <row r="87" spans="1:9" ht="20.25">
      <c r="A87" s="165"/>
      <c r="B87" s="199"/>
      <c r="C87" s="200" t="str">
        <f>CONCATENATE(C12," [n] ")</f>
        <v>3 [n] </v>
      </c>
      <c r="D87" s="200" t="str">
        <f>CONCATENATE(D12*100," [i] ")</f>
        <v>3 [i] </v>
      </c>
      <c r="E87" s="200" t="str">
        <f>IF(E12="","",CONCATENATE(ABS(E12),E86," [PV] "))</f>
        <v>400 [PV] </v>
      </c>
      <c r="F87" s="200" t="e">
        <f>IF(F12="","",CONCATENATE(ABS(F12),F86," [PMT] "))</f>
        <v>#VALUE!</v>
      </c>
      <c r="G87" s="200">
        <f>IF(G12="","",CONCATENATE(ABS(G12),G86," [FV] "))</f>
      </c>
      <c r="H87" s="201" t="str">
        <f>IF(H12&lt;1,"[g] [END]","[g] [BEG]")</f>
        <v>[g] [BEG]</v>
      </c>
      <c r="I87" s="165"/>
    </row>
    <row r="88" spans="1:9" ht="20.25">
      <c r="A88" s="165"/>
      <c r="B88" s="199" t="s">
        <v>0</v>
      </c>
      <c r="C88" s="200" t="e">
        <f>CONCATENATE("[f] [REG] ",D87,E87,F87,G87,H87," [n] Visor =&gt; ",ROUNDUP(C13,0)," . A HP aproxima o cálculo de n para o inteiro superior. Seu valor com quatro casas é igual a ",ROUND(C13,4))</f>
        <v>#VALUE!</v>
      </c>
      <c r="D88" s="200"/>
      <c r="E88" s="200"/>
      <c r="F88" s="200"/>
      <c r="G88" s="200"/>
      <c r="H88" s="201"/>
      <c r="I88" s="165"/>
    </row>
    <row r="89" spans="1:9" ht="20.25">
      <c r="A89" s="165"/>
      <c r="B89" s="199" t="s">
        <v>1</v>
      </c>
      <c r="C89" s="200" t="e">
        <f>CONCATENATE("[f] [REG] ",C87,E87,F87,G87,H87," [i] Visor =&gt; ",ROUND(D13*100,4))</f>
        <v>#VALUE!</v>
      </c>
      <c r="D89" s="200"/>
      <c r="E89" s="200"/>
      <c r="F89" s="200"/>
      <c r="G89" s="200"/>
      <c r="H89" s="201"/>
      <c r="I89" s="165"/>
    </row>
    <row r="90" spans="1:9" ht="20.25">
      <c r="A90" s="165"/>
      <c r="B90" s="199" t="s">
        <v>2</v>
      </c>
      <c r="C90" s="200" t="e">
        <f>CONCATENATE("[f] [REG] ",C87,D87,F87,G87,H87," [PV] Visor =&gt; ",ROUND(E13,4))</f>
        <v>#VALUE!</v>
      </c>
      <c r="D90" s="200"/>
      <c r="E90" s="200"/>
      <c r="F90" s="200"/>
      <c r="G90" s="200"/>
      <c r="H90" s="201"/>
      <c r="I90" s="165"/>
    </row>
    <row r="91" spans="1:9" ht="20.25">
      <c r="A91" s="165"/>
      <c r="B91" s="199" t="s">
        <v>3</v>
      </c>
      <c r="C91" s="200" t="str">
        <f>CONCATENATE("[f] [REG] ",C87,D87,E87,G87,H87," [PMT] Visor =&gt; ",ROUND(F13,4))</f>
        <v>[f] [REG] 3 [n] 3 [i] 400 [PV] [g] [BEG] [PMT] Visor =&gt; -137,2933</v>
      </c>
      <c r="D91" s="200"/>
      <c r="E91" s="200"/>
      <c r="F91" s="200"/>
      <c r="G91" s="200"/>
      <c r="H91" s="201"/>
      <c r="I91" s="165"/>
    </row>
    <row r="92" spans="1:9" ht="21" thickBot="1">
      <c r="A92" s="165"/>
      <c r="B92" s="202" t="s">
        <v>4</v>
      </c>
      <c r="C92" s="203" t="e">
        <f>CONCATENATE("[f] [REG] ",C87,D87,F87,E87,H87," [FV] Visor =&gt; ",ROUND(G13,4))</f>
        <v>#VALUE!</v>
      </c>
      <c r="D92" s="203"/>
      <c r="E92" s="203"/>
      <c r="F92" s="203"/>
      <c r="G92" s="203"/>
      <c r="H92" s="204"/>
      <c r="I92" s="165"/>
    </row>
    <row r="93" spans="1:9" ht="20.25">
      <c r="A93" s="165"/>
      <c r="B93" s="178"/>
      <c r="C93" s="178"/>
      <c r="D93" s="178"/>
      <c r="E93" s="178"/>
      <c r="F93" s="178"/>
      <c r="G93" s="178"/>
      <c r="H93" s="178"/>
      <c r="I93" s="165"/>
    </row>
    <row r="94" spans="1:9" ht="20.25">
      <c r="A94" s="165"/>
      <c r="B94" s="178"/>
      <c r="C94" s="178"/>
      <c r="D94" s="178"/>
      <c r="E94" s="178"/>
      <c r="F94" s="178"/>
      <c r="G94" s="178"/>
      <c r="H94" s="178"/>
      <c r="I94" s="165"/>
    </row>
    <row r="95" spans="2:8" ht="20.25">
      <c r="B95" s="205"/>
      <c r="C95" s="205"/>
      <c r="D95" s="205"/>
      <c r="E95" s="205"/>
      <c r="F95" s="205"/>
      <c r="G95" s="205"/>
      <c r="H95" s="205"/>
    </row>
    <row r="96" spans="2:8" ht="20.25">
      <c r="B96" s="205"/>
      <c r="C96" s="205"/>
      <c r="D96" s="205"/>
      <c r="E96" s="205"/>
      <c r="F96" s="205"/>
      <c r="G96" s="205"/>
      <c r="H96" s="205"/>
    </row>
    <row r="97" spans="2:8" ht="20.25">
      <c r="B97" s="205"/>
      <c r="C97" s="205"/>
      <c r="D97" s="205"/>
      <c r="E97" s="205"/>
      <c r="F97" s="205"/>
      <c r="G97" s="205"/>
      <c r="H97" s="205"/>
    </row>
    <row r="98" spans="2:8" ht="20.25">
      <c r="B98" s="205"/>
      <c r="C98" s="205"/>
      <c r="D98" s="205"/>
      <c r="E98" s="205"/>
      <c r="F98" s="205"/>
      <c r="G98" s="205"/>
      <c r="H98" s="205"/>
    </row>
    <row r="99" spans="2:8" ht="20.25">
      <c r="B99" s="205"/>
      <c r="C99" s="205"/>
      <c r="D99" s="205"/>
      <c r="E99" s="205"/>
      <c r="F99" s="205"/>
      <c r="G99" s="205"/>
      <c r="H99" s="205"/>
    </row>
    <row r="100" spans="2:8" ht="20.25">
      <c r="B100" s="205"/>
      <c r="C100" s="205"/>
      <c r="D100" s="205"/>
      <c r="E100" s="205"/>
      <c r="F100" s="205"/>
      <c r="G100" s="205"/>
      <c r="H100" s="205"/>
    </row>
    <row r="101" spans="2:8" ht="20.25">
      <c r="B101" s="205"/>
      <c r="C101" s="205"/>
      <c r="D101" s="205"/>
      <c r="E101" s="205"/>
      <c r="F101" s="205"/>
      <c r="G101" s="205"/>
      <c r="H101" s="205"/>
    </row>
    <row r="102" spans="2:8" ht="20.25">
      <c r="B102" s="205"/>
      <c r="C102" s="205"/>
      <c r="D102" s="205"/>
      <c r="E102" s="205"/>
      <c r="F102" s="205"/>
      <c r="G102" s="205"/>
      <c r="H102" s="205"/>
    </row>
    <row r="103" spans="2:8" ht="20.25">
      <c r="B103" s="205"/>
      <c r="C103" s="205"/>
      <c r="D103" s="205"/>
      <c r="E103" s="205"/>
      <c r="F103" s="205"/>
      <c r="G103" s="205"/>
      <c r="H103" s="205"/>
    </row>
    <row r="104" spans="2:8" ht="20.25">
      <c r="B104" s="205"/>
      <c r="C104" s="205"/>
      <c r="D104" s="205"/>
      <c r="E104" s="205"/>
      <c r="F104" s="205"/>
      <c r="G104" s="205"/>
      <c r="H104" s="205"/>
    </row>
    <row r="105" spans="2:8" ht="20.25">
      <c r="B105" s="205"/>
      <c r="C105" s="205"/>
      <c r="D105" s="205"/>
      <c r="E105" s="205"/>
      <c r="F105" s="205"/>
      <c r="G105" s="205"/>
      <c r="H105" s="205"/>
    </row>
  </sheetData>
  <sheetProtection/>
  <conditionalFormatting sqref="F10">
    <cfRule type="cellIs" priority="1" dxfId="0" operator="notEqual" stopIfTrue="1">
      <formula>$F$9</formula>
    </cfRule>
  </conditionalFormatting>
  <printOptions/>
  <pageMargins left="0.787401575" right="0.787401575" top="0.984251969" bottom="0.984251969" header="0.492125985" footer="0.492125985"/>
  <pageSetup horizontalDpi="300" verticalDpi="3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611"/>
  <dimension ref="A2:M46"/>
  <sheetViews>
    <sheetView zoomScalePageLayoutView="0" workbookViewId="0" topLeftCell="A1">
      <selection activeCell="A15" sqref="A15"/>
    </sheetView>
  </sheetViews>
  <sheetFormatPr defaultColWidth="9.140625" defaultRowHeight="12.75"/>
  <cols>
    <col min="2" max="2" width="19.140625" style="0" customWidth="1"/>
    <col min="3" max="3" width="20.28125" style="0" customWidth="1"/>
    <col min="4" max="4" width="8.00390625" style="0" customWidth="1"/>
    <col min="5" max="5" width="10.28125" style="0" customWidth="1"/>
    <col min="6" max="6" width="12.28125" style="0" customWidth="1"/>
    <col min="7" max="11" width="8.00390625" style="0" customWidth="1"/>
  </cols>
  <sheetData>
    <row r="1" ht="13.5" thickBot="1"/>
    <row r="2" spans="2:8" ht="30">
      <c r="B2" s="222" t="s">
        <v>52</v>
      </c>
      <c r="C2" s="223"/>
      <c r="D2" s="223"/>
      <c r="E2" s="223"/>
      <c r="F2" s="223"/>
      <c r="G2" s="223"/>
      <c r="H2" s="224"/>
    </row>
    <row r="3" spans="2:8" ht="12.75">
      <c r="B3" s="225" t="s">
        <v>53</v>
      </c>
      <c r="C3" s="226"/>
      <c r="D3" s="226"/>
      <c r="E3" s="226"/>
      <c r="F3" s="226"/>
      <c r="G3" s="226"/>
      <c r="H3" s="227"/>
    </row>
    <row r="4" spans="2:8" ht="13.5" thickBot="1">
      <c r="B4" s="230" t="s">
        <v>170</v>
      </c>
      <c r="C4" s="228"/>
      <c r="D4" s="228"/>
      <c r="E4" s="228"/>
      <c r="F4" s="228"/>
      <c r="G4" s="228"/>
      <c r="H4" s="229"/>
    </row>
    <row r="5" spans="1:9" ht="13.5" thickBot="1">
      <c r="A5" s="134"/>
      <c r="B5" s="134"/>
      <c r="C5" s="134"/>
      <c r="D5" s="134"/>
      <c r="E5" s="134"/>
      <c r="F5" s="134"/>
      <c r="G5" s="134"/>
      <c r="H5" s="134"/>
      <c r="I5" s="134"/>
    </row>
    <row r="6" spans="2:8" ht="21" thickBot="1">
      <c r="B6" s="233" t="s">
        <v>216</v>
      </c>
      <c r="C6" s="231"/>
      <c r="D6" s="231"/>
      <c r="E6" s="231"/>
      <c r="F6" s="231"/>
      <c r="G6" s="231"/>
      <c r="H6" s="232"/>
    </row>
    <row r="8" spans="2:13" ht="12.75">
      <c r="B8" s="80" t="s">
        <v>114</v>
      </c>
      <c r="C8" s="80" t="s">
        <v>115</v>
      </c>
      <c r="E8" s="126" t="s">
        <v>116</v>
      </c>
      <c r="F8" s="126"/>
      <c r="G8" s="126"/>
      <c r="H8" s="126"/>
      <c r="I8" s="126"/>
      <c r="M8" s="268" t="s">
        <v>217</v>
      </c>
    </row>
    <row r="9" spans="2:3" ht="12.75">
      <c r="B9" s="265" t="s">
        <v>267</v>
      </c>
      <c r="C9" s="265" t="s">
        <v>268</v>
      </c>
    </row>
    <row r="10" spans="2:8" ht="12.75">
      <c r="B10" s="266">
        <v>10</v>
      </c>
      <c r="C10" s="266">
        <v>5.4</v>
      </c>
      <c r="D10" s="21"/>
      <c r="E10" s="127" t="s">
        <v>117</v>
      </c>
      <c r="F10" s="128">
        <f>INTERCEPT(C10:C46,B10:B46)</f>
        <v>3.8199999999999994</v>
      </c>
      <c r="G10" s="21"/>
      <c r="H10" s="21"/>
    </row>
    <row r="11" spans="2:6" ht="12.75">
      <c r="B11" s="266">
        <v>25</v>
      </c>
      <c r="C11" s="266">
        <v>8</v>
      </c>
      <c r="E11" s="127" t="s">
        <v>118</v>
      </c>
      <c r="F11" s="128">
        <f>SLOPE(C10:C46,B10:B46)</f>
        <v>0.166</v>
      </c>
    </row>
    <row r="12" spans="2:6" ht="12.75">
      <c r="B12" s="266">
        <v>20</v>
      </c>
      <c r="C12" s="266">
        <v>7</v>
      </c>
      <c r="E12" s="127" t="s">
        <v>119</v>
      </c>
      <c r="F12" s="129">
        <f>PEARSON(C10:C46,B10:B46)</f>
        <v>0.9909785512069599</v>
      </c>
    </row>
    <row r="13" spans="2:11" ht="14.25">
      <c r="B13" s="266">
        <v>15</v>
      </c>
      <c r="C13" s="266">
        <f>3.5+B13*0.2</f>
        <v>6.5</v>
      </c>
      <c r="D13" s="119"/>
      <c r="E13" s="127" t="s">
        <v>120</v>
      </c>
      <c r="F13" s="129">
        <f>RSQ(C10:C46,B10:B46)</f>
        <v>0.9820384889522452</v>
      </c>
      <c r="G13" s="119"/>
      <c r="H13" s="119"/>
      <c r="J13" s="119"/>
      <c r="K13" s="119"/>
    </row>
    <row r="14" spans="2:11" ht="12.75">
      <c r="B14" s="266"/>
      <c r="C14" s="266"/>
      <c r="D14" s="118"/>
      <c r="E14" s="118" t="s">
        <v>121</v>
      </c>
      <c r="F14" s="130" t="str">
        <f>CONCATENATE("Y = ",ROUND(F10,4)," + ",ROUND(F11,4),".X"," , valor de R2 igual a ",ROUND(F13,4))</f>
        <v>Y = 3,82 + 0,166.X , valor de R2 igual a 0,982</v>
      </c>
      <c r="G14" s="118"/>
      <c r="H14" s="118"/>
      <c r="I14" s="118"/>
      <c r="J14" s="118"/>
      <c r="K14" s="118"/>
    </row>
    <row r="15" spans="2:11" ht="12.75">
      <c r="B15" s="266"/>
      <c r="C15" s="266"/>
      <c r="D15" s="121"/>
      <c r="E15" s="122"/>
      <c r="F15" s="122"/>
      <c r="G15" s="122"/>
      <c r="H15" s="122"/>
      <c r="I15" s="122"/>
      <c r="J15" s="122"/>
      <c r="K15" s="122"/>
    </row>
    <row r="16" spans="2:11" ht="12.75">
      <c r="B16" s="266"/>
      <c r="C16" s="266"/>
      <c r="D16" s="121"/>
      <c r="E16" s="122" t="s">
        <v>122</v>
      </c>
      <c r="F16" s="122"/>
      <c r="G16" s="122"/>
      <c r="H16" s="122"/>
      <c r="I16" s="122"/>
      <c r="J16" s="122"/>
      <c r="K16" s="122"/>
    </row>
    <row r="17" spans="2:11" ht="12.75">
      <c r="B17" s="266"/>
      <c r="C17" s="266"/>
      <c r="D17" s="121"/>
      <c r="E17" s="131" t="s">
        <v>123</v>
      </c>
      <c r="F17" s="132" t="s">
        <v>124</v>
      </c>
      <c r="G17" s="122"/>
      <c r="H17" s="122"/>
      <c r="I17" s="122"/>
      <c r="J17" s="122"/>
      <c r="K17" s="122"/>
    </row>
    <row r="18" spans="2:11" ht="12.75">
      <c r="B18" s="266"/>
      <c r="C18" s="266"/>
      <c r="D18" s="121"/>
      <c r="E18" s="267">
        <v>40</v>
      </c>
      <c r="F18" s="116">
        <f>IF(E18="","",FORECAST(E18,$C$10:$C$46,$B$10:$B$46))</f>
        <v>10.46</v>
      </c>
      <c r="G18" s="122"/>
      <c r="H18" s="122"/>
      <c r="I18" s="122"/>
      <c r="J18" s="122"/>
      <c r="K18" s="122"/>
    </row>
    <row r="19" spans="2:11" ht="12.75">
      <c r="B19" s="266"/>
      <c r="C19" s="266"/>
      <c r="D19" s="121"/>
      <c r="E19" s="267"/>
      <c r="F19" s="116">
        <f>IF(E19="","",FORECAST(E19,$C$10:$C$46,$B$10:$B$46))</f>
      </c>
      <c r="G19" s="122"/>
      <c r="H19" s="122"/>
      <c r="I19" s="122"/>
      <c r="J19" s="122"/>
      <c r="K19" s="122"/>
    </row>
    <row r="20" spans="2:11" ht="12.75">
      <c r="B20" s="266"/>
      <c r="C20" s="266"/>
      <c r="D20" s="121"/>
      <c r="E20" s="267"/>
      <c r="F20" s="116">
        <f>IF(E20="","",FORECAST(E20,$C$10:$C$46,$B$10:$B$46))</f>
      </c>
      <c r="G20" s="122"/>
      <c r="H20" s="122"/>
      <c r="I20" s="122"/>
      <c r="J20" s="122"/>
      <c r="K20" s="122"/>
    </row>
    <row r="21" spans="2:11" ht="12.75">
      <c r="B21" s="266"/>
      <c r="C21" s="266"/>
      <c r="D21" s="121"/>
      <c r="E21" s="267"/>
      <c r="F21" s="116">
        <f>IF(E21="","",FORECAST(E21,$C$10:$C$46,$B$10:$B$46))</f>
      </c>
      <c r="G21" s="122"/>
      <c r="H21" s="122"/>
      <c r="I21" s="122"/>
      <c r="J21" s="122"/>
      <c r="K21" s="122"/>
    </row>
    <row r="22" spans="2:11" ht="12.75">
      <c r="B22" s="266"/>
      <c r="C22" s="266"/>
      <c r="D22" s="124"/>
      <c r="E22" s="267"/>
      <c r="F22" s="116">
        <f>IF(E22="","",FORECAST(E22,$C$10:$C$46,$B$10:$B$46))</f>
      </c>
      <c r="G22" s="124"/>
      <c r="H22" s="125"/>
      <c r="I22" s="125"/>
      <c r="J22" s="125"/>
      <c r="K22" s="125"/>
    </row>
    <row r="23" spans="2:3" ht="12.75">
      <c r="B23" s="266"/>
      <c r="C23" s="266"/>
    </row>
    <row r="24" spans="2:11" ht="12.75">
      <c r="B24" s="267"/>
      <c r="C24" s="267"/>
      <c r="D24" s="71"/>
      <c r="E24" s="131" t="s">
        <v>125</v>
      </c>
      <c r="F24" s="132" t="s">
        <v>126</v>
      </c>
      <c r="G24" s="71"/>
      <c r="H24" s="71"/>
      <c r="I24" s="71"/>
      <c r="J24" s="71"/>
      <c r="K24" s="71"/>
    </row>
    <row r="25" spans="2:11" ht="12.75">
      <c r="B25" s="267"/>
      <c r="C25" s="267"/>
      <c r="D25" s="119"/>
      <c r="E25" s="267">
        <v>12</v>
      </c>
      <c r="F25" s="116">
        <f>IF(E25="","",FORECAST(E25,$B$10:$B$46,$C$10:$C$46))</f>
        <v>48.706343549536726</v>
      </c>
      <c r="G25" s="119"/>
      <c r="H25" s="119"/>
      <c r="I25" s="119"/>
      <c r="J25" s="119"/>
      <c r="K25" s="119"/>
    </row>
    <row r="26" spans="2:11" ht="12.75">
      <c r="B26" s="267"/>
      <c r="C26" s="267"/>
      <c r="D26" s="118"/>
      <c r="E26" s="267"/>
      <c r="F26" s="116">
        <f>IF(E26="","",FORECAST(E26,$B$10:$B$46,$C$10:$C$46))</f>
      </c>
      <c r="G26" s="118"/>
      <c r="H26" s="118"/>
      <c r="I26" s="118"/>
      <c r="J26" s="118"/>
      <c r="K26" s="118"/>
    </row>
    <row r="27" spans="2:11" ht="12.75">
      <c r="B27" s="267"/>
      <c r="C27" s="267"/>
      <c r="D27" s="121"/>
      <c r="E27" s="267"/>
      <c r="F27" s="116">
        <f>IF(E27="","",FORECAST(E27,$B$10:$B$46,$C$10:$C$46))</f>
      </c>
      <c r="G27" s="122"/>
      <c r="H27" s="122"/>
      <c r="I27" s="122"/>
      <c r="J27" s="122"/>
      <c r="K27" s="122"/>
    </row>
    <row r="28" spans="2:11" ht="12.75">
      <c r="B28" s="267"/>
      <c r="C28" s="267"/>
      <c r="D28" s="121"/>
      <c r="E28" s="267"/>
      <c r="F28" s="116">
        <f>IF(E28="","",FORECAST(E28,$B$10:$B$46,$C$10:$C$46))</f>
      </c>
      <c r="G28" s="122"/>
      <c r="H28" s="122"/>
      <c r="I28" s="122"/>
      <c r="J28" s="122"/>
      <c r="K28" s="122"/>
    </row>
    <row r="29" spans="2:11" ht="12.75">
      <c r="B29" s="267"/>
      <c r="C29" s="267"/>
      <c r="D29" s="121"/>
      <c r="E29" s="267"/>
      <c r="F29" s="116">
        <f>IF(E29="","",FORECAST(E29,$B$10:$B$46,$C$10:$C$46))</f>
      </c>
      <c r="G29" s="122"/>
      <c r="H29" s="122"/>
      <c r="I29" s="122"/>
      <c r="J29" s="122"/>
      <c r="K29" s="122"/>
    </row>
    <row r="30" spans="2:11" ht="12.75">
      <c r="B30" s="267"/>
      <c r="C30" s="267"/>
      <c r="D30" s="124"/>
      <c r="E30" s="125"/>
      <c r="F30" s="124"/>
      <c r="G30" s="124"/>
      <c r="H30" s="125"/>
      <c r="I30" s="125"/>
      <c r="J30" s="125"/>
      <c r="K30" s="125"/>
    </row>
    <row r="31" spans="2:11" ht="12.75">
      <c r="B31" s="267"/>
      <c r="C31" s="267"/>
      <c r="D31" s="71"/>
      <c r="E31" s="71"/>
      <c r="F31" s="71"/>
      <c r="G31" s="71"/>
      <c r="H31" s="71"/>
      <c r="I31" s="71"/>
      <c r="J31" s="71"/>
      <c r="K31" s="71"/>
    </row>
    <row r="32" spans="2:11" ht="12.75">
      <c r="B32" s="267"/>
      <c r="C32" s="267"/>
      <c r="D32" s="71"/>
      <c r="E32" s="71"/>
      <c r="F32" s="71"/>
      <c r="G32" s="71"/>
      <c r="H32" s="71"/>
      <c r="I32" s="71"/>
      <c r="J32" s="71"/>
      <c r="K32" s="71"/>
    </row>
    <row r="33" spans="2:11" ht="12.75">
      <c r="B33" s="267"/>
      <c r="C33" s="267"/>
      <c r="D33" s="71"/>
      <c r="E33" s="71"/>
      <c r="F33" s="71"/>
      <c r="G33" s="71"/>
      <c r="H33" s="71"/>
      <c r="I33" s="71"/>
      <c r="J33" s="71"/>
      <c r="K33" s="71"/>
    </row>
    <row r="34" spans="2:3" ht="12.75">
      <c r="B34" s="267"/>
      <c r="C34" s="267"/>
    </row>
    <row r="35" spans="2:3" ht="12.75">
      <c r="B35" s="267"/>
      <c r="C35" s="267"/>
    </row>
    <row r="36" spans="2:3" ht="12.75">
      <c r="B36" s="267"/>
      <c r="C36" s="267"/>
    </row>
    <row r="37" spans="2:3" ht="12.75">
      <c r="B37" s="267"/>
      <c r="C37" s="267"/>
    </row>
    <row r="38" spans="2:3" ht="12.75">
      <c r="B38" s="267"/>
      <c r="C38" s="267"/>
    </row>
    <row r="39" spans="2:3" ht="12.75">
      <c r="B39" s="267"/>
      <c r="C39" s="267"/>
    </row>
    <row r="40" spans="2:3" ht="12.75">
      <c r="B40" s="267"/>
      <c r="C40" s="267"/>
    </row>
    <row r="41" spans="2:3" ht="12.75">
      <c r="B41" s="267"/>
      <c r="C41" s="267"/>
    </row>
    <row r="42" spans="2:3" ht="12.75">
      <c r="B42" s="267"/>
      <c r="C42" s="267"/>
    </row>
    <row r="43" spans="2:3" ht="12.75">
      <c r="B43" s="267"/>
      <c r="C43" s="267"/>
    </row>
    <row r="44" spans="2:3" ht="12.75">
      <c r="B44" s="267"/>
      <c r="C44" s="267"/>
    </row>
    <row r="45" spans="2:3" ht="12.75">
      <c r="B45" s="267"/>
      <c r="C45" s="267"/>
    </row>
    <row r="46" spans="2:3" ht="12.75">
      <c r="B46" s="267"/>
      <c r="C46" s="26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8"/>
  <dimension ref="A2:K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57421875" style="0" customWidth="1"/>
    <col min="3" max="3" width="3.140625" style="0" customWidth="1"/>
    <col min="4" max="4" width="11.7109375" style="0" customWidth="1"/>
    <col min="5" max="5" width="26.8515625" style="0" customWidth="1"/>
    <col min="6" max="6" width="3.421875" style="0" customWidth="1"/>
    <col min="7" max="7" width="2.7109375" style="0" customWidth="1"/>
    <col min="8" max="8" width="6.8515625" style="0" customWidth="1"/>
    <col min="9" max="9" width="24.57421875" style="0" customWidth="1"/>
    <col min="10" max="10" width="1.8515625" style="0" customWidth="1"/>
  </cols>
  <sheetData>
    <row r="1" ht="13.5" thickBot="1"/>
    <row r="2" spans="2:10" ht="30">
      <c r="B2" s="222" t="s">
        <v>52</v>
      </c>
      <c r="C2" s="223"/>
      <c r="D2" s="223"/>
      <c r="E2" s="223"/>
      <c r="F2" s="223"/>
      <c r="G2" s="223"/>
      <c r="H2" s="223"/>
      <c r="I2" s="223"/>
      <c r="J2" s="224"/>
    </row>
    <row r="3" spans="2:10" ht="12.75">
      <c r="B3" s="225" t="s">
        <v>53</v>
      </c>
      <c r="C3" s="226"/>
      <c r="D3" s="226"/>
      <c r="E3" s="226"/>
      <c r="F3" s="226"/>
      <c r="G3" s="226"/>
      <c r="H3" s="226"/>
      <c r="I3" s="226"/>
      <c r="J3" s="227"/>
    </row>
    <row r="4" spans="2:10" ht="13.5" thickBot="1">
      <c r="B4" s="230" t="s">
        <v>170</v>
      </c>
      <c r="C4" s="228"/>
      <c r="D4" s="228"/>
      <c r="E4" s="228"/>
      <c r="F4" s="228"/>
      <c r="G4" s="228"/>
      <c r="H4" s="228"/>
      <c r="I4" s="228"/>
      <c r="J4" s="229"/>
    </row>
    <row r="5" s="134" customFormat="1" ht="13.5" thickBot="1"/>
    <row r="6" spans="2:10" ht="21" thickBot="1">
      <c r="B6" s="233" t="s">
        <v>222</v>
      </c>
      <c r="C6" s="231"/>
      <c r="D6" s="231"/>
      <c r="E6" s="231"/>
      <c r="F6" s="231"/>
      <c r="G6" s="231"/>
      <c r="H6" s="231"/>
      <c r="I6" s="231"/>
      <c r="J6" s="232"/>
    </row>
    <row r="7" spans="1:11" ht="12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2:10" ht="12.75">
      <c r="B8" s="21"/>
      <c r="C8" s="21"/>
      <c r="D8" s="21"/>
      <c r="E8" s="21"/>
      <c r="F8" s="21"/>
      <c r="G8" s="21"/>
      <c r="H8" s="21"/>
      <c r="I8" s="21"/>
      <c r="J8" s="21"/>
    </row>
    <row r="9" spans="2:10" ht="13.5" thickBot="1">
      <c r="B9" s="21"/>
      <c r="C9" s="21"/>
      <c r="D9" s="21"/>
      <c r="E9" s="21"/>
      <c r="F9" s="21"/>
      <c r="G9" s="21"/>
      <c r="H9" s="21"/>
      <c r="I9" s="21"/>
      <c r="J9" s="21"/>
    </row>
    <row r="10" spans="2:9" ht="12.75">
      <c r="B10" s="21"/>
      <c r="C10" s="11"/>
      <c r="D10" s="12"/>
      <c r="E10" s="13"/>
      <c r="F10" s="21"/>
      <c r="G10" s="11"/>
      <c r="H10" s="12"/>
      <c r="I10" s="13"/>
    </row>
    <row r="11" spans="2:9" ht="18.75">
      <c r="B11" s="21"/>
      <c r="C11" s="14"/>
      <c r="D11" s="20" t="s">
        <v>19</v>
      </c>
      <c r="E11" s="16"/>
      <c r="F11" s="21"/>
      <c r="G11" s="14"/>
      <c r="H11" s="20" t="s">
        <v>50</v>
      </c>
      <c r="I11" s="16"/>
    </row>
    <row r="12" spans="2:9" ht="12.75">
      <c r="B12" s="21"/>
      <c r="C12" s="14"/>
      <c r="D12" s="15"/>
      <c r="E12" s="16"/>
      <c r="F12" s="21"/>
      <c r="G12" s="14"/>
      <c r="H12" s="15"/>
      <c r="I12" s="16"/>
    </row>
    <row r="13" spans="2:9" ht="12.75">
      <c r="B13" s="21"/>
      <c r="C13" s="14"/>
      <c r="D13" s="15" t="s">
        <v>15</v>
      </c>
      <c r="E13" s="16" t="s">
        <v>16</v>
      </c>
      <c r="F13" s="21"/>
      <c r="G13" s="14"/>
      <c r="H13" s="15" t="s">
        <v>15</v>
      </c>
      <c r="I13" s="16" t="s">
        <v>51</v>
      </c>
    </row>
    <row r="14" spans="2:9" ht="12.75">
      <c r="B14" s="21"/>
      <c r="C14" s="14"/>
      <c r="D14" s="15" t="s">
        <v>17</v>
      </c>
      <c r="E14" s="16" t="s">
        <v>18</v>
      </c>
      <c r="F14" s="21"/>
      <c r="G14" s="14"/>
      <c r="H14" s="15"/>
      <c r="I14" s="16"/>
    </row>
    <row r="15" spans="2:9" ht="12.75">
      <c r="B15" s="21"/>
      <c r="C15" s="14"/>
      <c r="D15" s="15"/>
      <c r="E15" s="16"/>
      <c r="F15" s="21"/>
      <c r="G15" s="14"/>
      <c r="H15" s="15"/>
      <c r="I15" s="16"/>
    </row>
    <row r="16" spans="2:9" ht="13.5" thickBot="1">
      <c r="B16" s="21"/>
      <c r="C16" s="17"/>
      <c r="D16" s="18"/>
      <c r="E16" s="19"/>
      <c r="F16" s="21"/>
      <c r="G16" s="17"/>
      <c r="H16" s="18"/>
      <c r="I16" s="19"/>
    </row>
    <row r="17" spans="2:10" ht="12.75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2.75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2.75">
      <c r="B19" s="21"/>
      <c r="C19" s="21"/>
      <c r="D19" s="21"/>
      <c r="E19" s="21"/>
      <c r="F19" s="21"/>
      <c r="G19" s="21"/>
      <c r="H19" s="21"/>
      <c r="I19" s="21"/>
      <c r="J19" s="21"/>
    </row>
    <row r="20" spans="2:10" ht="12.75">
      <c r="B20" s="21"/>
      <c r="C20" s="21"/>
      <c r="D20" s="21"/>
      <c r="E20" s="21"/>
      <c r="F20" s="21"/>
      <c r="G20" s="21"/>
      <c r="H20" s="21"/>
      <c r="I20" s="21"/>
      <c r="J20" s="2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26"/>
  <dimension ref="A2:L9"/>
  <sheetViews>
    <sheetView zoomScalePageLayoutView="0" workbookViewId="0" topLeftCell="A1">
      <selection activeCell="N12" sqref="N12"/>
    </sheetView>
  </sheetViews>
  <sheetFormatPr defaultColWidth="9.140625" defaultRowHeight="12.75"/>
  <sheetData>
    <row r="1" ht="13.5" thickBot="1"/>
    <row r="2" spans="2:11" ht="30">
      <c r="B2" s="222" t="s">
        <v>52</v>
      </c>
      <c r="C2" s="223"/>
      <c r="D2" s="223"/>
      <c r="E2" s="223"/>
      <c r="F2" s="223"/>
      <c r="G2" s="223"/>
      <c r="H2" s="223"/>
      <c r="I2" s="223"/>
      <c r="J2" s="223"/>
      <c r="K2" s="224"/>
    </row>
    <row r="3" spans="2:11" ht="12.75">
      <c r="B3" s="225" t="s">
        <v>53</v>
      </c>
      <c r="C3" s="226"/>
      <c r="D3" s="226"/>
      <c r="E3" s="226"/>
      <c r="F3" s="226"/>
      <c r="G3" s="226"/>
      <c r="H3" s="226"/>
      <c r="I3" s="226"/>
      <c r="J3" s="226"/>
      <c r="K3" s="227"/>
    </row>
    <row r="4" spans="2:11" ht="13.5" thickBot="1">
      <c r="B4" s="230" t="s">
        <v>170</v>
      </c>
      <c r="C4" s="228"/>
      <c r="D4" s="228"/>
      <c r="E4" s="228"/>
      <c r="F4" s="228"/>
      <c r="G4" s="228"/>
      <c r="H4" s="228"/>
      <c r="I4" s="228"/>
      <c r="J4" s="228"/>
      <c r="K4" s="229"/>
    </row>
    <row r="5" s="134" customFormat="1" ht="13.5" thickBot="1"/>
    <row r="6" spans="2:11" ht="21" thickBot="1">
      <c r="B6" s="233" t="s">
        <v>220</v>
      </c>
      <c r="C6" s="231"/>
      <c r="D6" s="231"/>
      <c r="E6" s="231"/>
      <c r="F6" s="231"/>
      <c r="G6" s="231"/>
      <c r="H6" s="231"/>
      <c r="I6" s="231"/>
      <c r="J6" s="231"/>
      <c r="K6" s="232"/>
    </row>
    <row r="7" spans="1:12" ht="12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2.7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12" ht="12.7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7"/>
  <dimension ref="A2:J21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9.57421875" style="0" customWidth="1"/>
    <col min="3" max="3" width="66.00390625" style="0" customWidth="1"/>
  </cols>
  <sheetData>
    <row r="1" ht="13.5" thickBot="1"/>
    <row r="2" spans="2:3" ht="30">
      <c r="B2" s="222" t="s">
        <v>52</v>
      </c>
      <c r="C2" s="224"/>
    </row>
    <row r="3" spans="2:3" ht="12.75">
      <c r="B3" s="225" t="s">
        <v>53</v>
      </c>
      <c r="C3" s="227"/>
    </row>
    <row r="4" spans="2:3" ht="13.5" thickBot="1">
      <c r="B4" s="230" t="s">
        <v>170</v>
      </c>
      <c r="C4" s="229"/>
    </row>
    <row r="5" s="134" customFormat="1" ht="13.5" thickBot="1"/>
    <row r="6" spans="2:3" ht="21" thickBot="1">
      <c r="B6" s="233" t="s">
        <v>191</v>
      </c>
      <c r="C6" s="232"/>
    </row>
    <row r="7" spans="1:10" ht="12.75">
      <c r="A7" s="134"/>
      <c r="B7" s="134"/>
      <c r="C7" s="134"/>
      <c r="D7" s="134"/>
      <c r="E7" s="134"/>
      <c r="F7" s="134"/>
      <c r="G7" s="134"/>
      <c r="H7" s="134"/>
      <c r="I7" s="134"/>
      <c r="J7" s="134"/>
    </row>
    <row r="8" spans="2:3" ht="12.75">
      <c r="B8" s="425" t="s">
        <v>277</v>
      </c>
      <c r="C8" s="426" t="s">
        <v>158</v>
      </c>
    </row>
    <row r="9" spans="2:3" ht="25.5">
      <c r="B9" s="423" t="s">
        <v>278</v>
      </c>
      <c r="C9" s="424" t="s">
        <v>279</v>
      </c>
    </row>
    <row r="10" spans="2:3" ht="12.75">
      <c r="B10" s="427" t="s">
        <v>280</v>
      </c>
      <c r="C10" s="428" t="s">
        <v>281</v>
      </c>
    </row>
    <row r="11" spans="2:3" ht="12.75">
      <c r="B11" s="423" t="s">
        <v>282</v>
      </c>
      <c r="C11" s="424" t="s">
        <v>283</v>
      </c>
    </row>
    <row r="12" spans="2:3" ht="38.25">
      <c r="B12" s="427" t="s">
        <v>284</v>
      </c>
      <c r="C12" s="428" t="s">
        <v>285</v>
      </c>
    </row>
    <row r="13" spans="2:3" ht="25.5">
      <c r="B13" s="423" t="s">
        <v>286</v>
      </c>
      <c r="C13" s="424" t="s">
        <v>287</v>
      </c>
    </row>
    <row r="14" spans="2:3" ht="25.5">
      <c r="B14" s="427" t="s">
        <v>288</v>
      </c>
      <c r="C14" s="428" t="s">
        <v>289</v>
      </c>
    </row>
    <row r="15" spans="2:3" ht="25.5">
      <c r="B15" s="423" t="s">
        <v>290</v>
      </c>
      <c r="C15" s="424" t="s">
        <v>291</v>
      </c>
    </row>
    <row r="16" spans="2:3" ht="12.75">
      <c r="B16" s="427" t="s">
        <v>292</v>
      </c>
      <c r="C16" s="428" t="s">
        <v>293</v>
      </c>
    </row>
    <row r="17" spans="2:3" ht="25.5">
      <c r="B17" s="423" t="s">
        <v>294</v>
      </c>
      <c r="C17" s="424" t="s">
        <v>295</v>
      </c>
    </row>
    <row r="18" spans="2:3" ht="25.5">
      <c r="B18" s="427" t="s">
        <v>296</v>
      </c>
      <c r="C18" s="428" t="s">
        <v>297</v>
      </c>
    </row>
    <row r="19" spans="2:3" ht="25.5">
      <c r="B19" s="423" t="s">
        <v>303</v>
      </c>
      <c r="C19" s="424" t="s">
        <v>298</v>
      </c>
    </row>
    <row r="20" spans="2:3" ht="25.5">
      <c r="B20" s="427" t="s">
        <v>299</v>
      </c>
      <c r="C20" s="428" t="s">
        <v>300</v>
      </c>
    </row>
    <row r="21" spans="2:3" ht="12.75">
      <c r="B21" s="423" t="s">
        <v>301</v>
      </c>
      <c r="C21" s="424" t="s">
        <v>302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0"/>
  <dimension ref="A2:H3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6" max="6" width="20.8515625" style="0" customWidth="1"/>
    <col min="7" max="7" width="21.57421875" style="0" customWidth="1"/>
  </cols>
  <sheetData>
    <row r="1" ht="13.5" thickBot="1"/>
    <row r="2" spans="2:7" ht="30">
      <c r="B2" s="222" t="s">
        <v>52</v>
      </c>
      <c r="C2" s="223"/>
      <c r="D2" s="223"/>
      <c r="E2" s="223"/>
      <c r="F2" s="223"/>
      <c r="G2" s="224"/>
    </row>
    <row r="3" spans="2:7" ht="12.75">
      <c r="B3" s="225" t="s">
        <v>53</v>
      </c>
      <c r="C3" s="226"/>
      <c r="D3" s="226"/>
      <c r="E3" s="226"/>
      <c r="F3" s="226"/>
      <c r="G3" s="227"/>
    </row>
    <row r="4" spans="2:7" ht="13.5" thickBot="1">
      <c r="B4" s="230" t="s">
        <v>170</v>
      </c>
      <c r="C4" s="228"/>
      <c r="D4" s="228"/>
      <c r="E4" s="228"/>
      <c r="F4" s="228"/>
      <c r="G4" s="229"/>
    </row>
    <row r="5" s="134" customFormat="1" ht="13.5" thickBot="1"/>
    <row r="6" spans="2:7" ht="21" thickBot="1">
      <c r="B6" s="233" t="s">
        <v>190</v>
      </c>
      <c r="C6" s="231"/>
      <c r="D6" s="231"/>
      <c r="E6" s="231"/>
      <c r="F6" s="231"/>
      <c r="G6" s="232"/>
    </row>
    <row r="7" spans="1:8" ht="13.5" thickBot="1">
      <c r="A7" s="134"/>
      <c r="B7" s="134"/>
      <c r="C7" s="134"/>
      <c r="D7" s="134"/>
      <c r="E7" s="134"/>
      <c r="F7" s="134" t="s">
        <v>204</v>
      </c>
      <c r="G7" s="235">
        <v>500</v>
      </c>
      <c r="H7" s="134"/>
    </row>
    <row r="8" spans="1:8" ht="13.5" thickBot="1">
      <c r="A8" s="134"/>
      <c r="B8" s="352" t="s">
        <v>158</v>
      </c>
      <c r="C8" s="353"/>
      <c r="D8" s="353"/>
      <c r="E8" s="354"/>
      <c r="F8" s="355" t="s">
        <v>27</v>
      </c>
      <c r="G8" s="355" t="s">
        <v>54</v>
      </c>
      <c r="H8" s="134"/>
    </row>
    <row r="9" spans="1:8" ht="13.5" thickBot="1">
      <c r="A9" s="134"/>
      <c r="B9" s="352" t="s">
        <v>87</v>
      </c>
      <c r="C9" s="353"/>
      <c r="D9" s="353"/>
      <c r="E9" s="354"/>
      <c r="F9" s="237">
        <v>15000</v>
      </c>
      <c r="G9" s="356">
        <f>IF(OR(F9="",$G$7=""),"",F9/$G$7)</f>
        <v>30</v>
      </c>
      <c r="H9" s="134"/>
    </row>
    <row r="10" spans="1:8" ht="12.75">
      <c r="A10" s="134"/>
      <c r="B10" s="370" t="s">
        <v>192</v>
      </c>
      <c r="C10" s="235" t="s">
        <v>205</v>
      </c>
      <c r="D10" s="235"/>
      <c r="E10" s="236"/>
      <c r="F10" s="238">
        <v>-2000</v>
      </c>
      <c r="G10" s="368">
        <f aca="true" t="shared" si="0" ref="G10:G29">IF(OR(F10="",$G$7=""),"",F10/$G$7)</f>
        <v>-4</v>
      </c>
      <c r="H10" s="134"/>
    </row>
    <row r="11" spans="2:7" ht="12.75">
      <c r="B11" s="370"/>
      <c r="C11" s="235" t="s">
        <v>206</v>
      </c>
      <c r="D11" s="235"/>
      <c r="E11" s="236"/>
      <c r="F11" s="238">
        <v>-3000</v>
      </c>
      <c r="G11" s="368">
        <f t="shared" si="0"/>
        <v>-6</v>
      </c>
    </row>
    <row r="12" spans="2:7" ht="12.75">
      <c r="B12" s="370"/>
      <c r="C12" s="235"/>
      <c r="D12" s="235"/>
      <c r="E12" s="236"/>
      <c r="F12" s="238"/>
      <c r="G12" s="368">
        <f t="shared" si="0"/>
      </c>
    </row>
    <row r="13" spans="2:7" ht="13.5" thickBot="1">
      <c r="B13" s="364" t="s">
        <v>193</v>
      </c>
      <c r="C13" s="365"/>
      <c r="D13" s="365"/>
      <c r="E13" s="366"/>
      <c r="F13" s="367">
        <f>SUM(F10:F12)</f>
        <v>-5000</v>
      </c>
      <c r="G13" s="367">
        <f t="shared" si="0"/>
        <v>-10</v>
      </c>
    </row>
    <row r="14" spans="2:7" ht="13.5" thickTop="1">
      <c r="B14" s="371" t="s">
        <v>194</v>
      </c>
      <c r="C14" s="235" t="s">
        <v>242</v>
      </c>
      <c r="D14" s="235"/>
      <c r="E14" s="236"/>
      <c r="F14" s="238">
        <v>-1800</v>
      </c>
      <c r="G14" s="368">
        <f t="shared" si="0"/>
        <v>-3.6</v>
      </c>
    </row>
    <row r="15" spans="2:7" ht="12.75">
      <c r="B15" s="370"/>
      <c r="C15" s="235"/>
      <c r="D15" s="235"/>
      <c r="E15" s="236"/>
      <c r="F15" s="238"/>
      <c r="G15" s="368">
        <f t="shared" si="0"/>
      </c>
    </row>
    <row r="16" spans="2:7" ht="12.75">
      <c r="B16" s="370"/>
      <c r="C16" s="235"/>
      <c r="D16" s="235"/>
      <c r="E16" s="236"/>
      <c r="F16" s="238"/>
      <c r="G16" s="368">
        <f t="shared" si="0"/>
      </c>
    </row>
    <row r="17" spans="2:7" ht="13.5" thickBot="1">
      <c r="B17" s="364" t="s">
        <v>195</v>
      </c>
      <c r="C17" s="365"/>
      <c r="D17" s="365"/>
      <c r="E17" s="366"/>
      <c r="F17" s="367">
        <f>SUM(F14:F16)</f>
        <v>-1800</v>
      </c>
      <c r="G17" s="367">
        <f t="shared" si="0"/>
        <v>-3.6</v>
      </c>
    </row>
    <row r="18" spans="2:7" ht="14.25" thickBot="1" thickTop="1">
      <c r="B18" s="372" t="s">
        <v>196</v>
      </c>
      <c r="C18" s="373"/>
      <c r="D18" s="373"/>
      <c r="E18" s="374"/>
      <c r="F18" s="369">
        <f>+F13+F17</f>
        <v>-6800</v>
      </c>
      <c r="G18" s="369">
        <f t="shared" si="0"/>
        <v>-13.6</v>
      </c>
    </row>
    <row r="19" spans="2:7" ht="12.75">
      <c r="B19" s="370" t="s">
        <v>197</v>
      </c>
      <c r="C19" s="235" t="s">
        <v>243</v>
      </c>
      <c r="D19" s="235"/>
      <c r="E19" s="236"/>
      <c r="F19" s="238">
        <v>-2200</v>
      </c>
      <c r="G19" s="368">
        <f t="shared" si="0"/>
        <v>-4.4</v>
      </c>
    </row>
    <row r="20" spans="2:7" ht="12.75">
      <c r="B20" s="370"/>
      <c r="C20" s="235"/>
      <c r="D20" s="235"/>
      <c r="E20" s="236"/>
      <c r="F20" s="238"/>
      <c r="G20" s="368">
        <f t="shared" si="0"/>
      </c>
    </row>
    <row r="21" spans="2:7" ht="12.75">
      <c r="B21" s="370"/>
      <c r="C21" s="235"/>
      <c r="D21" s="235"/>
      <c r="E21" s="236"/>
      <c r="F21" s="238"/>
      <c r="G21" s="368">
        <f t="shared" si="0"/>
      </c>
    </row>
    <row r="22" spans="2:7" ht="13.5" thickBot="1">
      <c r="B22" s="364" t="s">
        <v>198</v>
      </c>
      <c r="C22" s="365"/>
      <c r="D22" s="365"/>
      <c r="E22" s="366"/>
      <c r="F22" s="367">
        <f>SUM(F19:F21)</f>
        <v>-2200</v>
      </c>
      <c r="G22" s="367">
        <f t="shared" si="0"/>
        <v>-4.4</v>
      </c>
    </row>
    <row r="23" spans="2:7" ht="13.5" thickTop="1">
      <c r="B23" s="371" t="s">
        <v>199</v>
      </c>
      <c r="C23" s="235" t="s">
        <v>244</v>
      </c>
      <c r="D23" s="235"/>
      <c r="E23" s="236"/>
      <c r="F23" s="238">
        <v>-800</v>
      </c>
      <c r="G23" s="368">
        <f t="shared" si="0"/>
        <v>-1.6</v>
      </c>
    </row>
    <row r="24" spans="2:7" ht="12.75">
      <c r="B24" s="370"/>
      <c r="C24" s="235"/>
      <c r="D24" s="235"/>
      <c r="E24" s="236"/>
      <c r="F24" s="238"/>
      <c r="G24" s="368">
        <f t="shared" si="0"/>
      </c>
    </row>
    <row r="25" spans="2:7" ht="12.75">
      <c r="B25" s="370"/>
      <c r="C25" s="235"/>
      <c r="D25" s="235"/>
      <c r="E25" s="236"/>
      <c r="F25" s="238"/>
      <c r="G25" s="368">
        <f t="shared" si="0"/>
      </c>
    </row>
    <row r="26" spans="2:7" ht="13.5" thickBot="1">
      <c r="B26" s="364" t="s">
        <v>200</v>
      </c>
      <c r="C26" s="365"/>
      <c r="D26" s="365"/>
      <c r="E26" s="366"/>
      <c r="F26" s="367">
        <f>SUM(F23:F25)</f>
        <v>-800</v>
      </c>
      <c r="G26" s="367">
        <f t="shared" si="0"/>
        <v>-1.6</v>
      </c>
    </row>
    <row r="27" spans="2:7" ht="14.25" thickBot="1" thickTop="1">
      <c r="B27" s="357" t="s">
        <v>201</v>
      </c>
      <c r="C27" s="358"/>
      <c r="D27" s="358"/>
      <c r="E27" s="359"/>
      <c r="F27" s="360">
        <f>+F22+F26</f>
        <v>-3000</v>
      </c>
      <c r="G27" s="360">
        <f t="shared" si="0"/>
        <v>-6</v>
      </c>
    </row>
    <row r="28" spans="2:7" ht="13.5" thickBot="1">
      <c r="B28" s="286" t="s">
        <v>202</v>
      </c>
      <c r="C28" s="361"/>
      <c r="D28" s="361"/>
      <c r="E28" s="362"/>
      <c r="F28" s="363">
        <f>+F27+F18</f>
        <v>-9800</v>
      </c>
      <c r="G28" s="363">
        <f t="shared" si="0"/>
        <v>-19.6</v>
      </c>
    </row>
    <row r="29" spans="2:7" ht="13.5" thickBot="1">
      <c r="B29" s="286" t="s">
        <v>203</v>
      </c>
      <c r="C29" s="361"/>
      <c r="D29" s="361"/>
      <c r="E29" s="362"/>
      <c r="F29" s="363">
        <f>+F9+F28</f>
        <v>5200</v>
      </c>
      <c r="G29" s="363">
        <f t="shared" si="0"/>
        <v>10.4</v>
      </c>
    </row>
    <row r="31" ht="13.5" thickBot="1">
      <c r="B31" t="s">
        <v>234</v>
      </c>
    </row>
    <row r="32" spans="2:7" ht="13.5" thickBot="1">
      <c r="B32" s="352" t="s">
        <v>158</v>
      </c>
      <c r="C32" s="353"/>
      <c r="D32" s="353"/>
      <c r="E32" s="354"/>
      <c r="F32" s="355" t="s">
        <v>27</v>
      </c>
      <c r="G32" s="355" t="s">
        <v>54</v>
      </c>
    </row>
    <row r="33" spans="2:7" ht="13.5" thickBot="1">
      <c r="B33" s="352" t="s">
        <v>87</v>
      </c>
      <c r="C33" s="353"/>
      <c r="D33" s="353"/>
      <c r="E33" s="354"/>
      <c r="F33" s="356">
        <f>+F9</f>
        <v>15000</v>
      </c>
      <c r="G33" s="356">
        <f>IF(OR(F33="",$G$7=""),"",F33/$G$7)</f>
        <v>30</v>
      </c>
    </row>
    <row r="34" spans="2:7" ht="13.5" thickBot="1">
      <c r="B34" s="352" t="s">
        <v>235</v>
      </c>
      <c r="C34" s="353"/>
      <c r="D34" s="353"/>
      <c r="E34" s="354"/>
      <c r="F34" s="356">
        <f>+F13+F22</f>
        <v>-7200</v>
      </c>
      <c r="G34" s="356">
        <f>IF(OR(F34="",$G$7=""),"",F34/$G$7)</f>
        <v>-14.4</v>
      </c>
    </row>
    <row r="35" spans="2:7" ht="13.5" thickBot="1">
      <c r="B35" s="352" t="s">
        <v>236</v>
      </c>
      <c r="C35" s="353"/>
      <c r="D35" s="353"/>
      <c r="E35" s="354"/>
      <c r="F35" s="356">
        <f>+F33+F34</f>
        <v>7800</v>
      </c>
      <c r="G35" s="356">
        <f>IF(OR(F35="",$G$7=""),"",F35/$G$7)</f>
        <v>15.6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2"/>
  <dimension ref="A2:L109"/>
  <sheetViews>
    <sheetView zoomScale="75" zoomScaleNormal="75" zoomScalePageLayoutView="0" workbookViewId="0" topLeftCell="A1">
      <selection activeCell="H13" sqref="H13:H14"/>
    </sheetView>
  </sheetViews>
  <sheetFormatPr defaultColWidth="9.140625" defaultRowHeight="12.75"/>
  <cols>
    <col min="1" max="1" width="3.140625" style="0" customWidth="1"/>
    <col min="2" max="2" width="9.28125" style="0" bestFit="1" customWidth="1"/>
    <col min="3" max="3" width="12.00390625" style="0" customWidth="1"/>
    <col min="4" max="4" width="10.7109375" style="0" customWidth="1"/>
    <col min="5" max="5" width="13.57421875" style="0" customWidth="1"/>
    <col min="6" max="6" width="13.28125" style="0" customWidth="1"/>
    <col min="8" max="8" width="23.28125" style="0" customWidth="1"/>
    <col min="9" max="9" width="10.140625" style="0" customWidth="1"/>
    <col min="10" max="10" width="8.140625" style="0" customWidth="1"/>
  </cols>
  <sheetData>
    <row r="1" ht="13.5" thickBot="1"/>
    <row r="2" spans="2:8" ht="30">
      <c r="B2" s="222" t="s">
        <v>52</v>
      </c>
      <c r="C2" s="223"/>
      <c r="D2" s="223"/>
      <c r="E2" s="223"/>
      <c r="F2" s="223"/>
      <c r="G2" s="223"/>
      <c r="H2" s="224"/>
    </row>
    <row r="3" spans="2:8" ht="12.75">
      <c r="B3" s="225" t="s">
        <v>53</v>
      </c>
      <c r="C3" s="226"/>
      <c r="D3" s="226"/>
      <c r="E3" s="226"/>
      <c r="F3" s="226"/>
      <c r="G3" s="226"/>
      <c r="H3" s="227"/>
    </row>
    <row r="4" spans="2:8" ht="13.5" thickBot="1">
      <c r="B4" s="230" t="s">
        <v>170</v>
      </c>
      <c r="C4" s="228"/>
      <c r="D4" s="228"/>
      <c r="E4" s="228"/>
      <c r="F4" s="228"/>
      <c r="G4" s="228"/>
      <c r="H4" s="229"/>
    </row>
    <row r="5" spans="1:9" ht="13.5" thickBot="1">
      <c r="A5" s="134"/>
      <c r="B5" s="134"/>
      <c r="C5" s="134"/>
      <c r="D5" s="134"/>
      <c r="E5" s="134"/>
      <c r="F5" s="134"/>
      <c r="G5" s="134"/>
      <c r="H5" s="134"/>
      <c r="I5" s="134"/>
    </row>
    <row r="6" spans="2:8" ht="21" thickBot="1">
      <c r="B6" s="233" t="s">
        <v>210</v>
      </c>
      <c r="C6" s="231"/>
      <c r="D6" s="231"/>
      <c r="E6" s="231"/>
      <c r="F6" s="231"/>
      <c r="G6" s="231"/>
      <c r="H6" s="232"/>
    </row>
    <row r="7" spans="1:12" ht="12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9" spans="2:7" ht="15.75">
      <c r="B9" s="22" t="s">
        <v>238</v>
      </c>
      <c r="C9" s="22"/>
      <c r="D9" s="22"/>
      <c r="E9" s="22"/>
      <c r="F9" s="22"/>
      <c r="G9" s="22"/>
    </row>
    <row r="10" spans="2:8" ht="13.5" thickBot="1">
      <c r="B10" s="63" t="s">
        <v>63</v>
      </c>
      <c r="C10" s="63"/>
      <c r="D10" s="63" t="s">
        <v>64</v>
      </c>
      <c r="E10" s="63" t="s">
        <v>60</v>
      </c>
      <c r="F10" s="63" t="s">
        <v>65</v>
      </c>
      <c r="H10" s="63" t="s">
        <v>304</v>
      </c>
    </row>
    <row r="11" spans="2:10" ht="12.75">
      <c r="B11" s="248" t="s">
        <v>66</v>
      </c>
      <c r="C11" s="248"/>
      <c r="D11" s="145" t="s">
        <v>67</v>
      </c>
      <c r="E11" s="249">
        <v>15</v>
      </c>
      <c r="F11" s="248"/>
      <c r="H11" s="429">
        <f>+E13</f>
        <v>24000</v>
      </c>
      <c r="I11" t="s">
        <v>305</v>
      </c>
      <c r="J11" s="24">
        <f>+E11</f>
        <v>15</v>
      </c>
    </row>
    <row r="12" spans="2:10" ht="12.75">
      <c r="B12" s="248" t="s">
        <v>68</v>
      </c>
      <c r="C12" s="248"/>
      <c r="D12" s="145" t="s">
        <v>69</v>
      </c>
      <c r="E12" s="250">
        <v>0.5</v>
      </c>
      <c r="F12" s="248"/>
      <c r="H12" t="s">
        <v>306</v>
      </c>
      <c r="I12" s="24">
        <f>+E12</f>
        <v>0.5</v>
      </c>
      <c r="J12" t="s">
        <v>307</v>
      </c>
    </row>
    <row r="13" spans="2:8" ht="13.5" thickBot="1">
      <c r="B13" s="248" t="s">
        <v>70</v>
      </c>
      <c r="C13" s="248"/>
      <c r="D13" s="145" t="s">
        <v>62</v>
      </c>
      <c r="E13" s="251">
        <v>24000</v>
      </c>
      <c r="F13" s="248"/>
      <c r="H13" s="430" t="str">
        <f>CONCATENATE(H10,H11,I11,J11,H12,I12,J12)</f>
        <v>Uma empresa industrial emprega uma única matéria-prima. Sabendo que a demanda mensal deste material é constante e igual a 24000 unidades, que seu custo unitário de pedido é igual a  15e que seu custo unitário de estocagem é igual a 0,5 , calcule o lote econêmico de compra.</v>
      </c>
    </row>
    <row r="14" spans="2:8" ht="12.75">
      <c r="B14" s="21"/>
      <c r="C14" s="21"/>
      <c r="D14" s="64"/>
      <c r="E14" s="65"/>
      <c r="F14" s="21"/>
      <c r="H14" s="431">
        <f>+D20</f>
        <v>1200</v>
      </c>
    </row>
    <row r="15" spans="2:6" ht="15.75">
      <c r="B15" s="22" t="s">
        <v>237</v>
      </c>
      <c r="C15" s="21"/>
      <c r="D15" s="64"/>
      <c r="E15" s="65"/>
      <c r="F15" s="21"/>
    </row>
    <row r="16" spans="2:6" ht="13.5" thickBot="1">
      <c r="B16" s="34" t="s">
        <v>80</v>
      </c>
      <c r="C16" s="34" t="s">
        <v>81</v>
      </c>
      <c r="D16" s="34" t="s">
        <v>82</v>
      </c>
      <c r="E16" s="34" t="s">
        <v>83</v>
      </c>
      <c r="F16" s="34" t="s">
        <v>84</v>
      </c>
    </row>
    <row r="17" spans="2:8" ht="13.5" thickBot="1">
      <c r="B17" s="375">
        <v>374.1657457452607</v>
      </c>
      <c r="C17" s="254">
        <f>+(B17/2)*($E$12)</f>
        <v>93.54143643631518</v>
      </c>
      <c r="D17" s="254">
        <f>IF(B17=0,"",+($E$11*$E$13)/B17)</f>
        <v>962.140452710214</v>
      </c>
      <c r="E17" s="254">
        <f>IF(B17=0,"",+C17+D17)</f>
        <v>1055.6818891465293</v>
      </c>
      <c r="F17" s="141">
        <f>+C17-D17</f>
        <v>-868.5990162738989</v>
      </c>
      <c r="H17" s="24">
        <f>+C17-D17</f>
        <v>-868.5990162738989</v>
      </c>
    </row>
    <row r="18" spans="2:6" ht="12.75">
      <c r="B18" s="21"/>
      <c r="C18" s="21"/>
      <c r="D18" s="64"/>
      <c r="E18" s="65"/>
      <c r="F18" s="21"/>
    </row>
    <row r="19" spans="2:3" ht="16.5" thickBot="1">
      <c r="B19" s="22" t="s">
        <v>239</v>
      </c>
      <c r="C19" s="66"/>
    </row>
    <row r="20" spans="2:6" ht="13.5" thickBot="1">
      <c r="B20" s="259" t="s">
        <v>240</v>
      </c>
      <c r="C20" s="260"/>
      <c r="D20" s="376">
        <f>+SQRT((2*E11*E13)/(E12))</f>
        <v>1200</v>
      </c>
      <c r="E20" s="260" t="s">
        <v>71</v>
      </c>
      <c r="F20" s="261"/>
    </row>
    <row r="22" spans="2:6" ht="15.75">
      <c r="B22" s="22" t="s">
        <v>241</v>
      </c>
      <c r="C22" s="67"/>
      <c r="D22" s="67"/>
      <c r="E22" s="67"/>
      <c r="F22" s="67"/>
    </row>
    <row r="23" spans="2:6" ht="12.75">
      <c r="B23" s="252" t="s">
        <v>72</v>
      </c>
      <c r="C23" s="252"/>
      <c r="D23" s="252"/>
      <c r="E23" s="252"/>
      <c r="F23" s="253" t="s">
        <v>73</v>
      </c>
    </row>
    <row r="24" spans="2:6" ht="12.75">
      <c r="B24" s="252" t="s">
        <v>74</v>
      </c>
      <c r="C24" s="252"/>
      <c r="D24" s="252"/>
      <c r="E24" s="252"/>
      <c r="F24" s="253" t="s">
        <v>75</v>
      </c>
    </row>
    <row r="25" spans="2:6" ht="12.75">
      <c r="B25" s="252" t="s">
        <v>76</v>
      </c>
      <c r="C25" s="252"/>
      <c r="D25" s="252"/>
      <c r="E25" s="252"/>
      <c r="F25" s="253" t="s">
        <v>77</v>
      </c>
    </row>
    <row r="26" ht="13.5" thickBot="1"/>
    <row r="27" spans="2:5" ht="16.5" thickBot="1">
      <c r="B27" s="22" t="s">
        <v>78</v>
      </c>
      <c r="D27" s="256" t="s">
        <v>79</v>
      </c>
      <c r="E27" s="255">
        <v>150</v>
      </c>
    </row>
    <row r="29" spans="2:6" ht="12.75">
      <c r="B29" s="34" t="s">
        <v>80</v>
      </c>
      <c r="C29" s="34" t="s">
        <v>81</v>
      </c>
      <c r="D29" s="34" t="s">
        <v>82</v>
      </c>
      <c r="E29" s="34" t="s">
        <v>83</v>
      </c>
      <c r="F29" s="34" t="s">
        <v>84</v>
      </c>
    </row>
    <row r="30" spans="2:6" ht="12.75">
      <c r="B30" s="145">
        <f>+E27</f>
        <v>150</v>
      </c>
      <c r="C30" s="254">
        <f>+(B30/2)*($E$12)</f>
        <v>37.5</v>
      </c>
      <c r="D30" s="254">
        <f>IF(B30=0,"",+($E$11*$E$13)/B30)</f>
        <v>2400</v>
      </c>
      <c r="E30" s="254">
        <f>IF(B30=0,"",+C30+D30)</f>
        <v>2437.5</v>
      </c>
      <c r="F30" s="141">
        <f>+C30-D30</f>
        <v>-2362.5</v>
      </c>
    </row>
    <row r="31" spans="2:6" ht="12.75">
      <c r="B31" s="145">
        <f>+B30+$E$27</f>
        <v>300</v>
      </c>
      <c r="C31" s="254">
        <f aca="true" t="shared" si="0" ref="C31:C43">+(B31/2)*($E$12)</f>
        <v>75</v>
      </c>
      <c r="D31" s="254">
        <f aca="true" t="shared" si="1" ref="D31:D43">IF(B31=0,"",+($E$11*$E$13)/B31)</f>
        <v>1200</v>
      </c>
      <c r="E31" s="254">
        <f>+C31+D31</f>
        <v>1275</v>
      </c>
      <c r="F31" s="141">
        <f aca="true" t="shared" si="2" ref="F31:F43">+C31-D31</f>
        <v>-1125</v>
      </c>
    </row>
    <row r="32" spans="2:6" ht="12.75">
      <c r="B32" s="145">
        <f aca="true" t="shared" si="3" ref="B32:B43">+B31+$E$27</f>
        <v>450</v>
      </c>
      <c r="C32" s="254">
        <f t="shared" si="0"/>
        <v>112.5</v>
      </c>
      <c r="D32" s="254">
        <f t="shared" si="1"/>
        <v>800</v>
      </c>
      <c r="E32" s="254">
        <f aca="true" t="shared" si="4" ref="E32:E43">+C32+D32</f>
        <v>912.5</v>
      </c>
      <c r="F32" s="141">
        <f t="shared" si="2"/>
        <v>-687.5</v>
      </c>
    </row>
    <row r="33" spans="2:6" ht="12.75">
      <c r="B33" s="145">
        <f t="shared" si="3"/>
        <v>600</v>
      </c>
      <c r="C33" s="254">
        <f t="shared" si="0"/>
        <v>150</v>
      </c>
      <c r="D33" s="254">
        <f t="shared" si="1"/>
        <v>600</v>
      </c>
      <c r="E33" s="254">
        <f t="shared" si="4"/>
        <v>750</v>
      </c>
      <c r="F33" s="141">
        <f t="shared" si="2"/>
        <v>-450</v>
      </c>
    </row>
    <row r="34" spans="2:6" ht="12.75">
      <c r="B34" s="145">
        <f t="shared" si="3"/>
        <v>750</v>
      </c>
      <c r="C34" s="254">
        <f t="shared" si="0"/>
        <v>187.5</v>
      </c>
      <c r="D34" s="254">
        <f t="shared" si="1"/>
        <v>480</v>
      </c>
      <c r="E34" s="254">
        <f t="shared" si="4"/>
        <v>667.5</v>
      </c>
      <c r="F34" s="141">
        <f t="shared" si="2"/>
        <v>-292.5</v>
      </c>
    </row>
    <row r="35" spans="2:6" ht="12.75">
      <c r="B35" s="145">
        <f t="shared" si="3"/>
        <v>900</v>
      </c>
      <c r="C35" s="254">
        <f t="shared" si="0"/>
        <v>225</v>
      </c>
      <c r="D35" s="254">
        <f t="shared" si="1"/>
        <v>400</v>
      </c>
      <c r="E35" s="254">
        <f t="shared" si="4"/>
        <v>625</v>
      </c>
      <c r="F35" s="141">
        <f t="shared" si="2"/>
        <v>-175</v>
      </c>
    </row>
    <row r="36" spans="2:6" ht="12.75">
      <c r="B36" s="145">
        <f t="shared" si="3"/>
        <v>1050</v>
      </c>
      <c r="C36" s="254">
        <f t="shared" si="0"/>
        <v>262.5</v>
      </c>
      <c r="D36" s="254">
        <f t="shared" si="1"/>
        <v>342.85714285714283</v>
      </c>
      <c r="E36" s="254">
        <f t="shared" si="4"/>
        <v>605.3571428571429</v>
      </c>
      <c r="F36" s="141">
        <f t="shared" si="2"/>
        <v>-80.35714285714283</v>
      </c>
    </row>
    <row r="37" spans="2:6" ht="12.75">
      <c r="B37" s="145">
        <f t="shared" si="3"/>
        <v>1200</v>
      </c>
      <c r="C37" s="254">
        <f t="shared" si="0"/>
        <v>300</v>
      </c>
      <c r="D37" s="254">
        <f t="shared" si="1"/>
        <v>300</v>
      </c>
      <c r="E37" s="254">
        <f t="shared" si="4"/>
        <v>600</v>
      </c>
      <c r="F37" s="141">
        <f t="shared" si="2"/>
        <v>0</v>
      </c>
    </row>
    <row r="38" spans="2:6" ht="12.75">
      <c r="B38" s="145">
        <f t="shared" si="3"/>
        <v>1350</v>
      </c>
      <c r="C38" s="254">
        <f t="shared" si="0"/>
        <v>337.5</v>
      </c>
      <c r="D38" s="254">
        <f t="shared" si="1"/>
        <v>266.6666666666667</v>
      </c>
      <c r="E38" s="254">
        <f t="shared" si="4"/>
        <v>604.1666666666667</v>
      </c>
      <c r="F38" s="141">
        <f t="shared" si="2"/>
        <v>70.83333333333331</v>
      </c>
    </row>
    <row r="39" spans="2:6" ht="12.75">
      <c r="B39" s="145">
        <f t="shared" si="3"/>
        <v>1500</v>
      </c>
      <c r="C39" s="254">
        <f t="shared" si="0"/>
        <v>375</v>
      </c>
      <c r="D39" s="254">
        <f t="shared" si="1"/>
        <v>240</v>
      </c>
      <c r="E39" s="254">
        <f t="shared" si="4"/>
        <v>615</v>
      </c>
      <c r="F39" s="141">
        <f t="shared" si="2"/>
        <v>135</v>
      </c>
    </row>
    <row r="40" spans="2:6" ht="12.75">
      <c r="B40" s="145">
        <f t="shared" si="3"/>
        <v>1650</v>
      </c>
      <c r="C40" s="254">
        <f t="shared" si="0"/>
        <v>412.5</v>
      </c>
      <c r="D40" s="254">
        <f t="shared" si="1"/>
        <v>218.1818181818182</v>
      </c>
      <c r="E40" s="254">
        <f t="shared" si="4"/>
        <v>630.6818181818182</v>
      </c>
      <c r="F40" s="141">
        <f t="shared" si="2"/>
        <v>194.3181818181818</v>
      </c>
    </row>
    <row r="41" spans="2:6" ht="12.75">
      <c r="B41" s="145">
        <f t="shared" si="3"/>
        <v>1800</v>
      </c>
      <c r="C41" s="254">
        <f t="shared" si="0"/>
        <v>450</v>
      </c>
      <c r="D41" s="254">
        <f t="shared" si="1"/>
        <v>200</v>
      </c>
      <c r="E41" s="254">
        <f t="shared" si="4"/>
        <v>650</v>
      </c>
      <c r="F41" s="141">
        <f t="shared" si="2"/>
        <v>250</v>
      </c>
    </row>
    <row r="42" spans="2:6" ht="12.75">
      <c r="B42" s="145">
        <f t="shared" si="3"/>
        <v>1950</v>
      </c>
      <c r="C42" s="254">
        <f t="shared" si="0"/>
        <v>487.5</v>
      </c>
      <c r="D42" s="254">
        <f t="shared" si="1"/>
        <v>184.6153846153846</v>
      </c>
      <c r="E42" s="254">
        <f t="shared" si="4"/>
        <v>672.1153846153846</v>
      </c>
      <c r="F42" s="141">
        <f t="shared" si="2"/>
        <v>302.88461538461536</v>
      </c>
    </row>
    <row r="43" spans="2:6" ht="12.75">
      <c r="B43" s="145">
        <f t="shared" si="3"/>
        <v>2100</v>
      </c>
      <c r="C43" s="254">
        <f t="shared" si="0"/>
        <v>525</v>
      </c>
      <c r="D43" s="254">
        <f t="shared" si="1"/>
        <v>171.42857142857142</v>
      </c>
      <c r="E43" s="254">
        <f t="shared" si="4"/>
        <v>696.4285714285714</v>
      </c>
      <c r="F43" s="141">
        <f t="shared" si="2"/>
        <v>353.57142857142856</v>
      </c>
    </row>
    <row r="44" ht="12.75">
      <c r="G44" s="69" t="s">
        <v>85</v>
      </c>
    </row>
    <row r="46" spans="2:11" ht="26.25">
      <c r="B46" s="147" t="s">
        <v>153</v>
      </c>
      <c r="C46" s="142"/>
      <c r="D46" s="142"/>
      <c r="E46" s="142"/>
      <c r="F46" s="142"/>
      <c r="G46" s="142"/>
      <c r="H46" s="142"/>
      <c r="I46" s="142"/>
      <c r="J46" s="142"/>
      <c r="K46" s="142"/>
    </row>
    <row r="48" spans="2:8" ht="12.75">
      <c r="B48" s="148" t="s">
        <v>154</v>
      </c>
      <c r="E48" s="148" t="s">
        <v>212</v>
      </c>
      <c r="H48" s="148" t="s">
        <v>214</v>
      </c>
    </row>
    <row r="49" spans="2:9" ht="12.75">
      <c r="B49" s="257" t="s">
        <v>70</v>
      </c>
      <c r="C49" s="136">
        <v>1500</v>
      </c>
      <c r="E49" s="257" t="s">
        <v>79</v>
      </c>
      <c r="F49" s="136">
        <f>+F50+((1/I50)/4)</f>
        <v>0.0625</v>
      </c>
      <c r="H49" s="257" t="s">
        <v>150</v>
      </c>
      <c r="I49" s="258">
        <f>+(C50/2)+C52</f>
        <v>187.5</v>
      </c>
    </row>
    <row r="50" spans="2:9" ht="12.75">
      <c r="B50" s="257" t="s">
        <v>80</v>
      </c>
      <c r="C50" s="136">
        <v>375</v>
      </c>
      <c r="E50" s="257" t="s">
        <v>213</v>
      </c>
      <c r="F50" s="136">
        <v>0</v>
      </c>
      <c r="H50" s="257" t="s">
        <v>151</v>
      </c>
      <c r="I50" s="150">
        <f>+C49/C50</f>
        <v>4</v>
      </c>
    </row>
    <row r="51" spans="2:9" ht="12.75">
      <c r="B51" s="257" t="s">
        <v>146</v>
      </c>
      <c r="C51" s="136">
        <f>+C50</f>
        <v>375</v>
      </c>
      <c r="H51" s="257" t="s">
        <v>152</v>
      </c>
      <c r="I51" s="150">
        <f>1/I50</f>
        <v>0.25</v>
      </c>
    </row>
    <row r="52" spans="2:3" ht="12.75">
      <c r="B52" s="257" t="s">
        <v>211</v>
      </c>
      <c r="C52" s="136">
        <v>0</v>
      </c>
    </row>
    <row r="88" spans="2:7" ht="12.75">
      <c r="B88" s="146" t="s">
        <v>145</v>
      </c>
      <c r="C88" s="146" t="s">
        <v>147</v>
      </c>
      <c r="D88" s="146" t="s">
        <v>148</v>
      </c>
      <c r="E88" s="146" t="s">
        <v>61</v>
      </c>
      <c r="F88" s="146" t="s">
        <v>149</v>
      </c>
      <c r="G88" s="146" t="s">
        <v>130</v>
      </c>
    </row>
    <row r="89" spans="2:7" ht="12.75">
      <c r="B89" s="143">
        <f>+F50</f>
        <v>0</v>
      </c>
      <c r="C89" s="144"/>
      <c r="D89" s="144"/>
      <c r="E89" s="144">
        <f>+C51</f>
        <v>375</v>
      </c>
      <c r="F89" s="144">
        <f aca="true" t="shared" si="5" ref="F89:F109">+$C$52</f>
        <v>0</v>
      </c>
      <c r="G89" s="144">
        <f>+E89+F89</f>
        <v>375</v>
      </c>
    </row>
    <row r="90" spans="2:7" ht="12.75">
      <c r="B90" s="143">
        <f>+B89+$F$49</f>
        <v>0.0625</v>
      </c>
      <c r="C90" s="144">
        <f aca="true" t="shared" si="6" ref="C90:C109">-$C$49*(B90-B89)</f>
        <v>-93.75</v>
      </c>
      <c r="D90" s="144">
        <f aca="true" t="shared" si="7" ref="D90:D109">IF(B90=B89,$C$50,0)</f>
        <v>0</v>
      </c>
      <c r="E90" s="144">
        <f>+C90+D90+E89</f>
        <v>281.25</v>
      </c>
      <c r="F90" s="144">
        <f t="shared" si="5"/>
        <v>0</v>
      </c>
      <c r="G90" s="144">
        <f aca="true" t="shared" si="8" ref="G90:G109">+E90+F90</f>
        <v>281.25</v>
      </c>
    </row>
    <row r="91" spans="2:7" ht="12.75">
      <c r="B91" s="143">
        <f aca="true" t="shared" si="9" ref="B91:B109">IF(E90=0,B90,+B90+$F$49)</f>
        <v>0.125</v>
      </c>
      <c r="C91" s="144">
        <f t="shared" si="6"/>
        <v>-93.75</v>
      </c>
      <c r="D91" s="144">
        <f t="shared" si="7"/>
        <v>0</v>
      </c>
      <c r="E91" s="144">
        <f aca="true" t="shared" si="10" ref="E91:E109">+C91+D91+E90</f>
        <v>187.5</v>
      </c>
      <c r="F91" s="144">
        <f t="shared" si="5"/>
        <v>0</v>
      </c>
      <c r="G91" s="144">
        <f t="shared" si="8"/>
        <v>187.5</v>
      </c>
    </row>
    <row r="92" spans="2:7" ht="12.75">
      <c r="B92" s="143">
        <f t="shared" si="9"/>
        <v>0.1875</v>
      </c>
      <c r="C92" s="144">
        <f t="shared" si="6"/>
        <v>-93.75</v>
      </c>
      <c r="D92" s="144">
        <f t="shared" si="7"/>
        <v>0</v>
      </c>
      <c r="E92" s="144">
        <f t="shared" si="10"/>
        <v>93.75</v>
      </c>
      <c r="F92" s="144">
        <f t="shared" si="5"/>
        <v>0</v>
      </c>
      <c r="G92" s="144">
        <f t="shared" si="8"/>
        <v>93.75</v>
      </c>
    </row>
    <row r="93" spans="2:7" ht="12.75">
      <c r="B93" s="143">
        <f t="shared" si="9"/>
        <v>0.25</v>
      </c>
      <c r="C93" s="144">
        <f t="shared" si="6"/>
        <v>-93.75</v>
      </c>
      <c r="D93" s="144">
        <f t="shared" si="7"/>
        <v>0</v>
      </c>
      <c r="E93" s="144">
        <f>+C93+D93+E92</f>
        <v>0</v>
      </c>
      <c r="F93" s="144">
        <f t="shared" si="5"/>
        <v>0</v>
      </c>
      <c r="G93" s="144">
        <f t="shared" si="8"/>
        <v>0</v>
      </c>
    </row>
    <row r="94" spans="2:7" ht="12.75">
      <c r="B94" s="143">
        <f t="shared" si="9"/>
        <v>0.25</v>
      </c>
      <c r="C94" s="144">
        <f t="shared" si="6"/>
        <v>0</v>
      </c>
      <c r="D94" s="144">
        <f t="shared" si="7"/>
        <v>375</v>
      </c>
      <c r="E94" s="144">
        <f t="shared" si="10"/>
        <v>375</v>
      </c>
      <c r="F94" s="144">
        <f t="shared" si="5"/>
        <v>0</v>
      </c>
      <c r="G94" s="144">
        <f t="shared" si="8"/>
        <v>375</v>
      </c>
    </row>
    <row r="95" spans="2:7" ht="12.75">
      <c r="B95" s="143">
        <f t="shared" si="9"/>
        <v>0.3125</v>
      </c>
      <c r="C95" s="144">
        <f t="shared" si="6"/>
        <v>-93.75</v>
      </c>
      <c r="D95" s="144">
        <f t="shared" si="7"/>
        <v>0</v>
      </c>
      <c r="E95" s="144">
        <f t="shared" si="10"/>
        <v>281.25</v>
      </c>
      <c r="F95" s="144">
        <f t="shared" si="5"/>
        <v>0</v>
      </c>
      <c r="G95" s="144">
        <f t="shared" si="8"/>
        <v>281.25</v>
      </c>
    </row>
    <row r="96" spans="2:7" ht="12.75">
      <c r="B96" s="143">
        <f t="shared" si="9"/>
        <v>0.375</v>
      </c>
      <c r="C96" s="144">
        <f t="shared" si="6"/>
        <v>-93.75</v>
      </c>
      <c r="D96" s="144">
        <f t="shared" si="7"/>
        <v>0</v>
      </c>
      <c r="E96" s="144">
        <f t="shared" si="10"/>
        <v>187.5</v>
      </c>
      <c r="F96" s="144">
        <f t="shared" si="5"/>
        <v>0</v>
      </c>
      <c r="G96" s="144">
        <f t="shared" si="8"/>
        <v>187.5</v>
      </c>
    </row>
    <row r="97" spans="2:7" ht="12.75">
      <c r="B97" s="143">
        <f t="shared" si="9"/>
        <v>0.4375</v>
      </c>
      <c r="C97" s="144">
        <f t="shared" si="6"/>
        <v>-93.75</v>
      </c>
      <c r="D97" s="144">
        <f t="shared" si="7"/>
        <v>0</v>
      </c>
      <c r="E97" s="144">
        <f t="shared" si="10"/>
        <v>93.75</v>
      </c>
      <c r="F97" s="144">
        <f t="shared" si="5"/>
        <v>0</v>
      </c>
      <c r="G97" s="144">
        <f t="shared" si="8"/>
        <v>93.75</v>
      </c>
    </row>
    <row r="98" spans="2:7" ht="12.75">
      <c r="B98" s="143">
        <f t="shared" si="9"/>
        <v>0.5</v>
      </c>
      <c r="C98" s="144">
        <f t="shared" si="6"/>
        <v>-93.75</v>
      </c>
      <c r="D98" s="144">
        <f t="shared" si="7"/>
        <v>0</v>
      </c>
      <c r="E98" s="144">
        <f t="shared" si="10"/>
        <v>0</v>
      </c>
      <c r="F98" s="144">
        <f t="shared" si="5"/>
        <v>0</v>
      </c>
      <c r="G98" s="144">
        <f t="shared" si="8"/>
        <v>0</v>
      </c>
    </row>
    <row r="99" spans="2:7" ht="12.75">
      <c r="B99" s="143">
        <f t="shared" si="9"/>
        <v>0.5</v>
      </c>
      <c r="C99" s="144">
        <f t="shared" si="6"/>
        <v>0</v>
      </c>
      <c r="D99" s="144">
        <f t="shared" si="7"/>
        <v>375</v>
      </c>
      <c r="E99" s="144">
        <f t="shared" si="10"/>
        <v>375</v>
      </c>
      <c r="F99" s="144">
        <f t="shared" si="5"/>
        <v>0</v>
      </c>
      <c r="G99" s="144">
        <f t="shared" si="8"/>
        <v>375</v>
      </c>
    </row>
    <row r="100" spans="2:7" ht="12.75">
      <c r="B100" s="143">
        <f t="shared" si="9"/>
        <v>0.5625</v>
      </c>
      <c r="C100" s="144">
        <f t="shared" si="6"/>
        <v>-93.75</v>
      </c>
      <c r="D100" s="144">
        <f t="shared" si="7"/>
        <v>0</v>
      </c>
      <c r="E100" s="144">
        <f t="shared" si="10"/>
        <v>281.25</v>
      </c>
      <c r="F100" s="144">
        <f t="shared" si="5"/>
        <v>0</v>
      </c>
      <c r="G100" s="144">
        <f t="shared" si="8"/>
        <v>281.25</v>
      </c>
    </row>
    <row r="101" spans="2:7" ht="12.75">
      <c r="B101" s="143">
        <f t="shared" si="9"/>
        <v>0.625</v>
      </c>
      <c r="C101" s="144">
        <f t="shared" si="6"/>
        <v>-93.75</v>
      </c>
      <c r="D101" s="144">
        <f t="shared" si="7"/>
        <v>0</v>
      </c>
      <c r="E101" s="144">
        <f t="shared" si="10"/>
        <v>187.5</v>
      </c>
      <c r="F101" s="144">
        <f t="shared" si="5"/>
        <v>0</v>
      </c>
      <c r="G101" s="144">
        <f t="shared" si="8"/>
        <v>187.5</v>
      </c>
    </row>
    <row r="102" spans="2:7" ht="12.75">
      <c r="B102" s="143">
        <f t="shared" si="9"/>
        <v>0.6875</v>
      </c>
      <c r="C102" s="144">
        <f t="shared" si="6"/>
        <v>-93.75</v>
      </c>
      <c r="D102" s="144">
        <f t="shared" si="7"/>
        <v>0</v>
      </c>
      <c r="E102" s="144">
        <f t="shared" si="10"/>
        <v>93.75</v>
      </c>
      <c r="F102" s="144">
        <f t="shared" si="5"/>
        <v>0</v>
      </c>
      <c r="G102" s="144">
        <f t="shared" si="8"/>
        <v>93.75</v>
      </c>
    </row>
    <row r="103" spans="2:7" ht="12.75">
      <c r="B103" s="143">
        <f t="shared" si="9"/>
        <v>0.75</v>
      </c>
      <c r="C103" s="144">
        <f t="shared" si="6"/>
        <v>-93.75</v>
      </c>
      <c r="D103" s="144">
        <f t="shared" si="7"/>
        <v>0</v>
      </c>
      <c r="E103" s="144">
        <f t="shared" si="10"/>
        <v>0</v>
      </c>
      <c r="F103" s="144">
        <f t="shared" si="5"/>
        <v>0</v>
      </c>
      <c r="G103" s="144">
        <f t="shared" si="8"/>
        <v>0</v>
      </c>
    </row>
    <row r="104" spans="2:7" ht="12.75">
      <c r="B104" s="143">
        <f t="shared" si="9"/>
        <v>0.75</v>
      </c>
      <c r="C104" s="144">
        <f t="shared" si="6"/>
        <v>0</v>
      </c>
      <c r="D104" s="144">
        <f t="shared" si="7"/>
        <v>375</v>
      </c>
      <c r="E104" s="144">
        <f t="shared" si="10"/>
        <v>375</v>
      </c>
      <c r="F104" s="144">
        <f t="shared" si="5"/>
        <v>0</v>
      </c>
      <c r="G104" s="144">
        <f t="shared" si="8"/>
        <v>375</v>
      </c>
    </row>
    <row r="105" spans="2:7" ht="12.75">
      <c r="B105" s="143">
        <f t="shared" si="9"/>
        <v>0.8125</v>
      </c>
      <c r="C105" s="144">
        <f t="shared" si="6"/>
        <v>-93.75</v>
      </c>
      <c r="D105" s="144">
        <f t="shared" si="7"/>
        <v>0</v>
      </c>
      <c r="E105" s="144">
        <f t="shared" si="10"/>
        <v>281.25</v>
      </c>
      <c r="F105" s="144">
        <f t="shared" si="5"/>
        <v>0</v>
      </c>
      <c r="G105" s="144">
        <f t="shared" si="8"/>
        <v>281.25</v>
      </c>
    </row>
    <row r="106" spans="2:7" ht="12.75">
      <c r="B106" s="143">
        <f t="shared" si="9"/>
        <v>0.875</v>
      </c>
      <c r="C106" s="144">
        <f t="shared" si="6"/>
        <v>-93.75</v>
      </c>
      <c r="D106" s="144">
        <f t="shared" si="7"/>
        <v>0</v>
      </c>
      <c r="E106" s="144">
        <f t="shared" si="10"/>
        <v>187.5</v>
      </c>
      <c r="F106" s="144">
        <f t="shared" si="5"/>
        <v>0</v>
      </c>
      <c r="G106" s="144">
        <f t="shared" si="8"/>
        <v>187.5</v>
      </c>
    </row>
    <row r="107" spans="2:7" ht="12.75">
      <c r="B107" s="143">
        <f t="shared" si="9"/>
        <v>0.9375</v>
      </c>
      <c r="C107" s="144">
        <f t="shared" si="6"/>
        <v>-93.75</v>
      </c>
      <c r="D107" s="144">
        <f t="shared" si="7"/>
        <v>0</v>
      </c>
      <c r="E107" s="144">
        <f t="shared" si="10"/>
        <v>93.75</v>
      </c>
      <c r="F107" s="144">
        <f t="shared" si="5"/>
        <v>0</v>
      </c>
      <c r="G107" s="144">
        <f t="shared" si="8"/>
        <v>93.75</v>
      </c>
    </row>
    <row r="108" spans="2:7" ht="12.75">
      <c r="B108" s="143">
        <f t="shared" si="9"/>
        <v>1</v>
      </c>
      <c r="C108" s="144">
        <f t="shared" si="6"/>
        <v>-93.75</v>
      </c>
      <c r="D108" s="144">
        <f t="shared" si="7"/>
        <v>0</v>
      </c>
      <c r="E108" s="144">
        <f t="shared" si="10"/>
        <v>0</v>
      </c>
      <c r="F108" s="144">
        <f t="shared" si="5"/>
        <v>0</v>
      </c>
      <c r="G108" s="144">
        <f t="shared" si="8"/>
        <v>0</v>
      </c>
    </row>
    <row r="109" spans="2:7" ht="12.75">
      <c r="B109" s="143">
        <f t="shared" si="9"/>
        <v>1</v>
      </c>
      <c r="C109" s="144">
        <f t="shared" si="6"/>
        <v>0</v>
      </c>
      <c r="D109" s="144">
        <f t="shared" si="7"/>
        <v>375</v>
      </c>
      <c r="E109" s="144">
        <f t="shared" si="10"/>
        <v>375</v>
      </c>
      <c r="F109" s="144">
        <f t="shared" si="5"/>
        <v>0</v>
      </c>
      <c r="G109" s="144">
        <f t="shared" si="8"/>
        <v>375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9"/>
  <dimension ref="A2:L40"/>
  <sheetViews>
    <sheetView zoomScalePageLayoutView="0" workbookViewId="0" topLeftCell="B1">
      <selection activeCell="J13" sqref="J13"/>
    </sheetView>
  </sheetViews>
  <sheetFormatPr defaultColWidth="9.140625" defaultRowHeight="12.75"/>
  <cols>
    <col min="2" max="2" width="17.7109375" style="0" customWidth="1"/>
    <col min="4" max="4" width="9.7109375" style="0" customWidth="1"/>
    <col min="5" max="7" width="10.57421875" style="0" customWidth="1"/>
    <col min="8" max="9" width="11.421875" style="0" customWidth="1"/>
    <col min="10" max="10" width="11.140625" style="0" customWidth="1"/>
  </cols>
  <sheetData>
    <row r="1" ht="13.5" thickBot="1"/>
    <row r="2" spans="2:11" ht="30">
      <c r="B2" s="222" t="s">
        <v>52</v>
      </c>
      <c r="C2" s="223"/>
      <c r="D2" s="223"/>
      <c r="E2" s="223"/>
      <c r="F2" s="223"/>
      <c r="G2" s="223"/>
      <c r="H2" s="223"/>
      <c r="I2" s="223"/>
      <c r="J2" s="223"/>
      <c r="K2" s="224"/>
    </row>
    <row r="3" spans="2:11" ht="12.75">
      <c r="B3" s="225" t="s">
        <v>53</v>
      </c>
      <c r="C3" s="226"/>
      <c r="D3" s="226"/>
      <c r="E3" s="226"/>
      <c r="F3" s="226"/>
      <c r="G3" s="226"/>
      <c r="H3" s="226"/>
      <c r="I3" s="226"/>
      <c r="J3" s="226"/>
      <c r="K3" s="227"/>
    </row>
    <row r="4" spans="2:11" ht="13.5" thickBot="1">
      <c r="B4" s="230" t="s">
        <v>170</v>
      </c>
      <c r="C4" s="228"/>
      <c r="D4" s="228"/>
      <c r="E4" s="228"/>
      <c r="F4" s="228"/>
      <c r="G4" s="228"/>
      <c r="H4" s="228"/>
      <c r="I4" s="228"/>
      <c r="J4" s="228"/>
      <c r="K4" s="229"/>
    </row>
    <row r="5" s="134" customFormat="1" ht="13.5" thickBot="1"/>
    <row r="6" spans="2:11" ht="21" thickBot="1">
      <c r="B6" s="233" t="s">
        <v>233</v>
      </c>
      <c r="C6" s="231"/>
      <c r="D6" s="231"/>
      <c r="E6" s="231"/>
      <c r="F6" s="231"/>
      <c r="G6" s="231"/>
      <c r="H6" s="231"/>
      <c r="I6" s="231"/>
      <c r="J6" s="231"/>
      <c r="K6" s="232"/>
    </row>
    <row r="7" spans="1:12" ht="13.5" thickBot="1">
      <c r="A7" s="134"/>
      <c r="B7" s="134"/>
      <c r="C7" s="134"/>
      <c r="D7" s="134"/>
      <c r="E7" s="134"/>
      <c r="F7" s="134"/>
      <c r="H7" s="134"/>
      <c r="I7" s="134"/>
      <c r="J7" s="134"/>
      <c r="K7" s="134"/>
      <c r="L7" s="134"/>
    </row>
    <row r="8" spans="1:12" ht="13.5" thickBot="1">
      <c r="A8" s="134"/>
      <c r="B8" s="435" t="s">
        <v>158</v>
      </c>
      <c r="C8" s="452"/>
      <c r="D8" s="452"/>
      <c r="E8" s="436"/>
      <c r="F8" s="377" t="s">
        <v>248</v>
      </c>
      <c r="G8" s="377" t="s">
        <v>249</v>
      </c>
      <c r="H8" s="377" t="s">
        <v>248</v>
      </c>
      <c r="I8" s="377" t="s">
        <v>249</v>
      </c>
      <c r="J8" s="432" t="s">
        <v>86</v>
      </c>
      <c r="K8" s="134"/>
      <c r="L8" s="134"/>
    </row>
    <row r="9" spans="1:12" ht="13.5" thickBot="1">
      <c r="A9" s="134"/>
      <c r="B9" s="453"/>
      <c r="C9" s="454"/>
      <c r="D9" s="454"/>
      <c r="E9" s="455"/>
      <c r="F9" s="378" t="s">
        <v>250</v>
      </c>
      <c r="G9" s="378">
        <v>40</v>
      </c>
      <c r="H9" s="378" t="s">
        <v>255</v>
      </c>
      <c r="I9" s="378">
        <v>30</v>
      </c>
      <c r="J9" s="433"/>
      <c r="K9" s="134"/>
      <c r="L9" s="134"/>
    </row>
    <row r="10" spans="1:12" ht="13.5" thickBot="1">
      <c r="A10" s="134"/>
      <c r="B10" s="437"/>
      <c r="C10" s="456"/>
      <c r="D10" s="456"/>
      <c r="E10" s="438"/>
      <c r="F10" s="377" t="s">
        <v>27</v>
      </c>
      <c r="G10" s="355" t="s">
        <v>54</v>
      </c>
      <c r="H10" s="377" t="s">
        <v>27</v>
      </c>
      <c r="I10" s="355" t="s">
        <v>54</v>
      </c>
      <c r="J10" s="434"/>
      <c r="K10" s="134"/>
      <c r="L10" s="134"/>
    </row>
    <row r="11" spans="2:10" ht="13.5" thickBot="1">
      <c r="B11" s="352" t="s">
        <v>87</v>
      </c>
      <c r="C11" s="353"/>
      <c r="D11" s="353"/>
      <c r="E11" s="354"/>
      <c r="F11" s="237">
        <v>15000</v>
      </c>
      <c r="G11" s="356">
        <f>IF(OR(F11="",G9=""),"",F11/G9)</f>
        <v>375</v>
      </c>
      <c r="H11" s="237">
        <v>15000</v>
      </c>
      <c r="I11" s="356">
        <f>IF(OR(H11="",I9=""),"",H11/I9)</f>
        <v>500</v>
      </c>
      <c r="J11" s="356">
        <f>+F11+H11</f>
        <v>30000</v>
      </c>
    </row>
    <row r="12" spans="2:10" ht="12.75">
      <c r="B12" s="370" t="s">
        <v>245</v>
      </c>
      <c r="C12" s="15" t="s">
        <v>251</v>
      </c>
      <c r="D12" s="15"/>
      <c r="E12" s="16"/>
      <c r="F12" s="238">
        <v>-2000</v>
      </c>
      <c r="G12" s="368">
        <f>IF(OR(F12="",G9=""),"",F12/G9)</f>
        <v>-50</v>
      </c>
      <c r="H12" s="238">
        <v>-3000</v>
      </c>
      <c r="I12" s="368">
        <f>IF(OR(H12="",I9=""),"",H12/I9)</f>
        <v>-100</v>
      </c>
      <c r="J12" s="368">
        <f>+F12+H12</f>
        <v>-5000</v>
      </c>
    </row>
    <row r="13" spans="2:10" ht="12.75">
      <c r="B13" s="370"/>
      <c r="C13" s="15" t="s">
        <v>252</v>
      </c>
      <c r="D13" s="15"/>
      <c r="E13" s="16"/>
      <c r="F13" s="238">
        <v>-3000</v>
      </c>
      <c r="G13" s="368">
        <f>IF(OR(F13="",G9=""),"",F13/G9)</f>
        <v>-75</v>
      </c>
      <c r="H13" s="238">
        <v>-3000</v>
      </c>
      <c r="I13" s="368">
        <f>IF(OR(H13="",I9=""),"",H13/I9)</f>
        <v>-100</v>
      </c>
      <c r="J13" s="368">
        <f>+F13+H13</f>
        <v>-6000</v>
      </c>
    </row>
    <row r="14" spans="2:10" ht="13.5" thickBot="1">
      <c r="B14" s="364" t="s">
        <v>61</v>
      </c>
      <c r="C14" s="365" t="s">
        <v>256</v>
      </c>
      <c r="D14" s="365"/>
      <c r="E14" s="366"/>
      <c r="F14" s="367">
        <f>SUM(F12:F13)</f>
        <v>-5000</v>
      </c>
      <c r="G14" s="367">
        <f>IF(OR(F14="",G9=""),"",F14/G9)</f>
        <v>-125</v>
      </c>
      <c r="H14" s="367">
        <f>SUM(H12:H13)</f>
        <v>-6000</v>
      </c>
      <c r="I14" s="367">
        <f>IF(OR(H14="",I9=""),"",H14/I9)</f>
        <v>-200</v>
      </c>
      <c r="J14" s="367">
        <f>+F14+H14</f>
        <v>-11000</v>
      </c>
    </row>
    <row r="15" spans="2:10" ht="13.5" thickTop="1">
      <c r="B15" s="371" t="s">
        <v>253</v>
      </c>
      <c r="C15" s="235" t="s">
        <v>258</v>
      </c>
      <c r="D15" s="235"/>
      <c r="E15" s="236"/>
      <c r="F15" s="368">
        <f>IF($J15="","",+$J15*$E$34)</f>
        <v>-227.27272727272725</v>
      </c>
      <c r="G15" s="368">
        <f>IF(OR(F15="",G9=""),"",F15/G9)</f>
        <v>-5.681818181818182</v>
      </c>
      <c r="H15" s="368">
        <f>IF($J15="","",+$J15*$F$34)</f>
        <v>-272.7272727272727</v>
      </c>
      <c r="I15" s="368">
        <f>IF(OR(H15="",I$9=""),"",H15/I$9)</f>
        <v>-9.09090909090909</v>
      </c>
      <c r="J15" s="238">
        <v>-500</v>
      </c>
    </row>
    <row r="16" spans="2:10" ht="12.75">
      <c r="B16" s="370"/>
      <c r="C16" s="235" t="s">
        <v>259</v>
      </c>
      <c r="D16" s="235"/>
      <c r="E16" s="236"/>
      <c r="F16" s="368">
        <f>IF(J16="","",+J16*$E$34)</f>
        <v>-363.6363636363636</v>
      </c>
      <c r="G16" s="368">
        <f>IF(OR(F16="",G9=""),"",F16/G9)</f>
        <v>-9.09090909090909</v>
      </c>
      <c r="H16" s="368">
        <f>IF($J16="","",+$J16*$F$34)</f>
        <v>-436.3636363636363</v>
      </c>
      <c r="I16" s="368">
        <f>IF(OR(H16="",I$9=""),"",H16/I$9)</f>
        <v>-14.545454545454543</v>
      </c>
      <c r="J16" s="238">
        <v>-800</v>
      </c>
    </row>
    <row r="17" spans="2:10" ht="12.75">
      <c r="B17" s="370"/>
      <c r="C17" s="235" t="s">
        <v>260</v>
      </c>
      <c r="D17" s="235"/>
      <c r="E17" s="236"/>
      <c r="F17" s="368">
        <f>IF(J17="","",+J17*$E$34)</f>
        <v>-409.09090909090907</v>
      </c>
      <c r="G17" s="368">
        <f>IF(OR(F17="",G9=""),"",F17/G9)</f>
        <v>-10.227272727272727</v>
      </c>
      <c r="H17" s="368">
        <f>IF($J17="","",+$J17*$F$34)</f>
        <v>-490.9090909090909</v>
      </c>
      <c r="I17" s="368">
        <f>IF(OR(H17="",I$9=""),"",H17/I$9)</f>
        <v>-16.363636363636363</v>
      </c>
      <c r="J17" s="238">
        <v>-900</v>
      </c>
    </row>
    <row r="18" spans="2:10" ht="13.5" thickBot="1">
      <c r="B18" s="364" t="s">
        <v>254</v>
      </c>
      <c r="C18" s="365"/>
      <c r="D18" s="365"/>
      <c r="E18" s="366"/>
      <c r="F18" s="367">
        <f>SUM(F15:F17)</f>
        <v>-1000</v>
      </c>
      <c r="G18" s="367">
        <f>IF(OR(F18="",G9=""),"",F18/G9)</f>
        <v>-25</v>
      </c>
      <c r="H18" s="367">
        <f>SUM(H15:H17)</f>
        <v>-1200</v>
      </c>
      <c r="I18" s="367">
        <f>IF(OR(H18="",I9=""),"",H18/I9)</f>
        <v>-40</v>
      </c>
      <c r="J18" s="367">
        <f aca="true" t="shared" si="0" ref="J18:J23">+F18+H18</f>
        <v>-2200</v>
      </c>
    </row>
    <row r="19" spans="2:10" ht="14.25" thickBot="1" thickTop="1">
      <c r="B19" s="372" t="s">
        <v>196</v>
      </c>
      <c r="C19" s="373"/>
      <c r="D19" s="373"/>
      <c r="E19" s="374"/>
      <c r="F19" s="369">
        <f>+F14+F18</f>
        <v>-6000</v>
      </c>
      <c r="G19" s="369">
        <f>IF(OR(F19="",G9=""),"",F19/G9)</f>
        <v>-150</v>
      </c>
      <c r="H19" s="369">
        <f>+H14+H18</f>
        <v>-7200</v>
      </c>
      <c r="I19" s="369">
        <f>IF(OR(H19="",I9=""),"",H19/I9)</f>
        <v>-240</v>
      </c>
      <c r="J19" s="369">
        <f t="shared" si="0"/>
        <v>-13200</v>
      </c>
    </row>
    <row r="20" spans="2:10" ht="12.75">
      <c r="B20" s="370" t="s">
        <v>246</v>
      </c>
      <c r="C20" s="235" t="s">
        <v>243</v>
      </c>
      <c r="D20" s="235"/>
      <c r="E20" s="236"/>
      <c r="F20" s="238">
        <v>-1400</v>
      </c>
      <c r="G20" s="368">
        <f>IF(OR(F20="",G9=""),"",F20/G9)</f>
        <v>-35</v>
      </c>
      <c r="H20" s="238">
        <v>-800</v>
      </c>
      <c r="I20" s="368">
        <f>IF(OR(H20="",I9=""),"",H20/I9)</f>
        <v>-26.666666666666668</v>
      </c>
      <c r="J20" s="368">
        <f t="shared" si="0"/>
        <v>-2200</v>
      </c>
    </row>
    <row r="21" spans="2:10" ht="12.75">
      <c r="B21" s="370"/>
      <c r="C21" s="235" t="s">
        <v>262</v>
      </c>
      <c r="D21" s="235"/>
      <c r="E21" s="236"/>
      <c r="F21" s="238">
        <v>-1200</v>
      </c>
      <c r="G21" s="368">
        <f>IF(OR(F21="",G9=""),"",F21/G9)</f>
        <v>-30</v>
      </c>
      <c r="H21" s="238">
        <v>-1100</v>
      </c>
      <c r="I21" s="368">
        <f>IF(OR(H21="",I9=""),"",H21/I9)</f>
        <v>-36.666666666666664</v>
      </c>
      <c r="J21" s="368">
        <f t="shared" si="0"/>
        <v>-2300</v>
      </c>
    </row>
    <row r="22" spans="2:10" ht="12.75">
      <c r="B22" s="370"/>
      <c r="C22" s="235"/>
      <c r="D22" s="235"/>
      <c r="E22" s="236"/>
      <c r="F22" s="238"/>
      <c r="G22" s="368">
        <f>IF(OR(F22="",G9=""),"",F22/G9)</f>
      </c>
      <c r="H22" s="238"/>
      <c r="I22" s="368">
        <f>IF(OR(H22="",I9=""),"",H22/I9)</f>
      </c>
      <c r="J22" s="368">
        <f t="shared" si="0"/>
        <v>0</v>
      </c>
    </row>
    <row r="23" spans="2:10" ht="13.5" thickBot="1">
      <c r="B23" s="364" t="s">
        <v>198</v>
      </c>
      <c r="C23" s="365"/>
      <c r="D23" s="365"/>
      <c r="E23" s="366"/>
      <c r="F23" s="367">
        <f>SUM(F20:F22)</f>
        <v>-2600</v>
      </c>
      <c r="G23" s="367">
        <f>IF(OR(F23="",G9=""),"",F23/G9)</f>
        <v>-65</v>
      </c>
      <c r="H23" s="367">
        <f>SUM(H20:H22)</f>
        <v>-1900</v>
      </c>
      <c r="I23" s="367">
        <f>IF(OR(H23="",I9=""),"",H23/I9)</f>
        <v>-63.333333333333336</v>
      </c>
      <c r="J23" s="367">
        <f t="shared" si="0"/>
        <v>-4500</v>
      </c>
    </row>
    <row r="24" spans="2:10" ht="13.5" thickTop="1">
      <c r="B24" s="371" t="s">
        <v>247</v>
      </c>
      <c r="C24" s="235" t="s">
        <v>244</v>
      </c>
      <c r="D24" s="235"/>
      <c r="E24" s="236"/>
      <c r="F24" s="368">
        <f>IF($J24="","",+$J24*$E$34)</f>
        <v>-636.3636363636364</v>
      </c>
      <c r="G24" s="368">
        <f>IF(OR(F24="",G$9=""),"",F24/G$9)</f>
        <v>-15.90909090909091</v>
      </c>
      <c r="H24" s="368">
        <f>IF($J24="","",+$J24*$F$34)</f>
        <v>-763.6363636363636</v>
      </c>
      <c r="I24" s="368">
        <f>IF(OR(H24="",I$9=""),"",H24/I$9)</f>
        <v>-25.454545454545453</v>
      </c>
      <c r="J24" s="238">
        <v>-1400</v>
      </c>
    </row>
    <row r="25" spans="2:10" ht="12.75">
      <c r="B25" s="370"/>
      <c r="C25" s="235" t="s">
        <v>261</v>
      </c>
      <c r="D25" s="235"/>
      <c r="E25" s="236"/>
      <c r="F25" s="368">
        <f>IF(J25="","",+J25*$E$34)</f>
        <v>-409.09090909090907</v>
      </c>
      <c r="G25" s="368">
        <f>IF(OR(F25="",G$9=""),"",F25/G$9)</f>
        <v>-10.227272727272727</v>
      </c>
      <c r="H25" s="368">
        <f>IF($J25="","",+$J25*$F$34)</f>
        <v>-490.9090909090909</v>
      </c>
      <c r="I25" s="368">
        <f>IF(OR(H25="",I$9=""),"",H25/I$9)</f>
        <v>-16.363636363636363</v>
      </c>
      <c r="J25" s="238">
        <v>-900</v>
      </c>
    </row>
    <row r="26" spans="2:10" ht="12.75">
      <c r="B26" s="370"/>
      <c r="C26" s="235"/>
      <c r="D26" s="235"/>
      <c r="E26" s="236"/>
      <c r="F26" s="368">
        <f>IF(J26="","",+J26*$E$34)</f>
      </c>
      <c r="G26" s="368">
        <f>IF(OR(F26="",G$9=""),"",F26/G$9)</f>
      </c>
      <c r="H26" s="368">
        <f>IF($J26="","",+$J26*$F$34)</f>
      </c>
      <c r="I26" s="368">
        <f>IF(OR(H26="",I$9=""),"",H26/I$9)</f>
      </c>
      <c r="J26" s="238"/>
    </row>
    <row r="27" spans="2:10" ht="13.5" thickBot="1">
      <c r="B27" s="364" t="s">
        <v>200</v>
      </c>
      <c r="C27" s="365"/>
      <c r="D27" s="365"/>
      <c r="E27" s="366"/>
      <c r="F27" s="367">
        <f>SUM(F24:F26)</f>
        <v>-1045.4545454545455</v>
      </c>
      <c r="G27" s="367">
        <f>IF(OR(F27="",G9=""),"",F27/G9)</f>
        <v>-26.136363636363637</v>
      </c>
      <c r="H27" s="367">
        <f>SUM(H24:H26)</f>
        <v>-1254.5454545454545</v>
      </c>
      <c r="I27" s="367">
        <f>IF(OR(H27="",I9=""),"",H27/I9)</f>
        <v>-41.81818181818182</v>
      </c>
      <c r="J27" s="367">
        <f>+F27+H27</f>
        <v>-2300</v>
      </c>
    </row>
    <row r="28" spans="2:10" ht="14.25" thickBot="1" thickTop="1">
      <c r="B28" s="357" t="s">
        <v>201</v>
      </c>
      <c r="C28" s="358"/>
      <c r="D28" s="358"/>
      <c r="E28" s="359"/>
      <c r="F28" s="360">
        <f>+F23+F27</f>
        <v>-3645.4545454545455</v>
      </c>
      <c r="G28" s="360">
        <f>IF(OR(F28="",G9=""),"",F28/G9)</f>
        <v>-91.13636363636364</v>
      </c>
      <c r="H28" s="360">
        <f>+H23+H27</f>
        <v>-3154.5454545454545</v>
      </c>
      <c r="I28" s="360">
        <f>IF(OR(H28="",I9=""),"",H28/I9)</f>
        <v>-105.15151515151516</v>
      </c>
      <c r="J28" s="360">
        <f>+F28+H28</f>
        <v>-6800</v>
      </c>
    </row>
    <row r="29" spans="2:10" ht="13.5" thickBot="1">
      <c r="B29" s="286" t="s">
        <v>202</v>
      </c>
      <c r="C29" s="361"/>
      <c r="D29" s="361"/>
      <c r="E29" s="362"/>
      <c r="F29" s="363">
        <f>+F28+F19</f>
        <v>-9645.454545454546</v>
      </c>
      <c r="G29" s="363">
        <f>IF(OR(F29="",G9=""),"",F29/G9)</f>
        <v>-241.13636363636365</v>
      </c>
      <c r="H29" s="363">
        <f>+H28+H19</f>
        <v>-10354.545454545454</v>
      </c>
      <c r="I29" s="363">
        <f>IF(OR(H29="",I9=""),"",H29/I9)</f>
        <v>-345.1515151515151</v>
      </c>
      <c r="J29" s="363">
        <f>+F29+H29</f>
        <v>-20000</v>
      </c>
    </row>
    <row r="30" spans="2:10" ht="13.5" thickBot="1">
      <c r="B30" s="286" t="s">
        <v>203</v>
      </c>
      <c r="C30" s="361"/>
      <c r="D30" s="361"/>
      <c r="E30" s="362"/>
      <c r="F30" s="363">
        <f>+F11+F29</f>
        <v>5354.545454545454</v>
      </c>
      <c r="G30" s="363">
        <f>IF(OR(F30="",G9=""),"",F30/G9)</f>
        <v>133.86363636363635</v>
      </c>
      <c r="H30" s="363">
        <f>+H11+H29</f>
        <v>4645.454545454546</v>
      </c>
      <c r="I30" s="363">
        <f>IF(OR(H30="",I9=""),"",H30/I9)</f>
        <v>154.84848484848487</v>
      </c>
      <c r="J30" s="363">
        <f>+F30+H30</f>
        <v>10000</v>
      </c>
    </row>
    <row r="31" ht="13.5" thickBot="1"/>
    <row r="32" spans="2:7" ht="13.5" thickBot="1">
      <c r="B32" s="439" t="s">
        <v>266</v>
      </c>
      <c r="C32" s="440"/>
      <c r="D32" s="379">
        <v>3</v>
      </c>
      <c r="E32" s="382" t="str">
        <f>+F9</f>
        <v>Alfa</v>
      </c>
      <c r="F32" s="382" t="str">
        <f>+H9</f>
        <v>Beta</v>
      </c>
      <c r="G32" s="383" t="s">
        <v>86</v>
      </c>
    </row>
    <row r="33" spans="2:7" ht="12.75">
      <c r="B33" s="435" t="str">
        <f>CHOOSE(D32,C12,C13,C14,B40)</f>
        <v>Custos Diretos</v>
      </c>
      <c r="C33" s="436"/>
      <c r="D33" s="276" t="s">
        <v>27</v>
      </c>
      <c r="E33" s="384">
        <f>CHOOSE($D$32,F12,F13,F14,E40)</f>
        <v>-5000</v>
      </c>
      <c r="F33" s="384">
        <f>CHOOSE($D$32,H12,H13,H14,F40)</f>
        <v>-6000</v>
      </c>
      <c r="G33" s="385">
        <f>+E33+F33</f>
        <v>-11000</v>
      </c>
    </row>
    <row r="34" spans="2:7" ht="13.5" thickBot="1">
      <c r="B34" s="437"/>
      <c r="C34" s="438"/>
      <c r="D34" s="279" t="s">
        <v>257</v>
      </c>
      <c r="E34" s="380">
        <f>+(E33/$G33)</f>
        <v>0.45454545454545453</v>
      </c>
      <c r="F34" s="380">
        <f>+(F33/$G33)</f>
        <v>0.5454545454545454</v>
      </c>
      <c r="G34" s="381">
        <f>+(G33/$G33)</f>
        <v>1</v>
      </c>
    </row>
    <row r="35" spans="2:7" ht="12.75">
      <c r="B35" s="443" t="s">
        <v>87</v>
      </c>
      <c r="C35" s="444"/>
      <c r="D35" s="445"/>
      <c r="E35" s="390">
        <f>+F11</f>
        <v>15000</v>
      </c>
      <c r="F35" s="390">
        <f>+H11</f>
        <v>15000</v>
      </c>
      <c r="G35" s="391">
        <f>+E35+F35</f>
        <v>30000</v>
      </c>
    </row>
    <row r="36" spans="2:7" ht="12.75">
      <c r="B36" s="446" t="s">
        <v>263</v>
      </c>
      <c r="C36" s="447"/>
      <c r="D36" s="448"/>
      <c r="E36" s="386">
        <f>+F29</f>
        <v>-9645.454545454546</v>
      </c>
      <c r="F36" s="386">
        <f>+H29</f>
        <v>-10354.545454545454</v>
      </c>
      <c r="G36" s="387">
        <f>+E36+F36</f>
        <v>-20000</v>
      </c>
    </row>
    <row r="37" spans="2:7" ht="13.5" thickBot="1">
      <c r="B37" s="449" t="s">
        <v>203</v>
      </c>
      <c r="C37" s="450"/>
      <c r="D37" s="451"/>
      <c r="E37" s="388">
        <f>+F30</f>
        <v>5354.545454545454</v>
      </c>
      <c r="F37" s="388">
        <f>+H30</f>
        <v>4645.454545454546</v>
      </c>
      <c r="G37" s="389">
        <f>+E37+F37</f>
        <v>10000</v>
      </c>
    </row>
    <row r="39" ht="13.5" thickBot="1">
      <c r="B39" s="298" t="s">
        <v>264</v>
      </c>
    </row>
    <row r="40" spans="2:7" ht="13.5" thickBot="1">
      <c r="B40" s="441" t="s">
        <v>265</v>
      </c>
      <c r="C40" s="442"/>
      <c r="D40" s="286" t="s">
        <v>27</v>
      </c>
      <c r="E40" s="393">
        <v>500</v>
      </c>
      <c r="F40" s="393">
        <v>400</v>
      </c>
      <c r="G40" s="392">
        <f>+E40+F40</f>
        <v>900</v>
      </c>
    </row>
  </sheetData>
  <sheetProtection/>
  <mergeCells count="8">
    <mergeCell ref="J8:J10"/>
    <mergeCell ref="B33:C34"/>
    <mergeCell ref="B32:C32"/>
    <mergeCell ref="B40:C40"/>
    <mergeCell ref="B35:D35"/>
    <mergeCell ref="B36:D36"/>
    <mergeCell ref="B37:D37"/>
    <mergeCell ref="B8:E10"/>
  </mergeCells>
  <printOptions/>
  <pageMargins left="0.787401575" right="0.787401575" top="0.984251969" bottom="0.984251969" header="0.492125985" footer="0.492125985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111"/>
  <dimension ref="A1:L4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.421875" style="8" customWidth="1"/>
    <col min="2" max="2" width="27.140625" style="8" customWidth="1"/>
    <col min="3" max="6" width="13.57421875" style="8" customWidth="1"/>
    <col min="7" max="16384" width="9.140625" style="8" customWidth="1"/>
  </cols>
  <sheetData>
    <row r="1" spans="1:12" ht="13.5" thickBot="1">
      <c r="A1"/>
      <c r="B1"/>
      <c r="C1"/>
      <c r="D1"/>
      <c r="E1"/>
      <c r="F1"/>
      <c r="G1"/>
      <c r="H1"/>
      <c r="I1"/>
      <c r="J1"/>
      <c r="K1"/>
      <c r="L1"/>
    </row>
    <row r="2" spans="1:8" ht="30">
      <c r="A2"/>
      <c r="B2" s="222" t="s">
        <v>52</v>
      </c>
      <c r="C2" s="223"/>
      <c r="D2" s="223"/>
      <c r="E2" s="223"/>
      <c r="F2" s="223"/>
      <c r="G2" s="224"/>
      <c r="H2"/>
    </row>
    <row r="3" spans="1:8" ht="12.75">
      <c r="A3"/>
      <c r="B3" s="225" t="s">
        <v>53</v>
      </c>
      <c r="C3" s="226"/>
      <c r="D3" s="226"/>
      <c r="E3" s="226"/>
      <c r="F3" s="226"/>
      <c r="G3" s="227"/>
      <c r="H3"/>
    </row>
    <row r="4" spans="1:8" ht="13.5" thickBot="1">
      <c r="A4"/>
      <c r="B4" s="230" t="s">
        <v>170</v>
      </c>
      <c r="C4" s="228"/>
      <c r="D4" s="228"/>
      <c r="E4" s="228"/>
      <c r="F4" s="228"/>
      <c r="G4" s="229"/>
      <c r="H4"/>
    </row>
    <row r="5" spans="1:8" ht="13.5" thickBot="1">
      <c r="A5" s="134"/>
      <c r="B5" s="134"/>
      <c r="C5" s="134"/>
      <c r="D5" s="134"/>
      <c r="E5" s="134"/>
      <c r="F5" s="134"/>
      <c r="G5" s="134"/>
      <c r="H5" s="134"/>
    </row>
    <row r="6" spans="1:8" ht="21" thickBot="1">
      <c r="A6"/>
      <c r="B6" s="233" t="s">
        <v>209</v>
      </c>
      <c r="C6" s="231"/>
      <c r="D6" s="231"/>
      <c r="E6" s="231"/>
      <c r="F6" s="231"/>
      <c r="G6" s="232"/>
      <c r="H6"/>
    </row>
    <row r="7" spans="1:12" ht="12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2.7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ht="12.75">
      <c r="B9" s="149"/>
    </row>
    <row r="10" spans="2:3" ht="12.75">
      <c r="B10" s="243" t="s">
        <v>158</v>
      </c>
      <c r="C10" s="243" t="s">
        <v>155</v>
      </c>
    </row>
    <row r="11" spans="2:3" ht="12.75">
      <c r="B11" s="239" t="s">
        <v>159</v>
      </c>
      <c r="C11" s="240">
        <v>10000</v>
      </c>
    </row>
    <row r="12" spans="2:3" ht="12.75">
      <c r="B12" s="239" t="s">
        <v>160</v>
      </c>
      <c r="C12" s="240">
        <v>8</v>
      </c>
    </row>
    <row r="13" spans="2:3" ht="12.75">
      <c r="B13" s="239" t="s">
        <v>161</v>
      </c>
      <c r="C13" s="240">
        <v>10</v>
      </c>
    </row>
    <row r="14" spans="2:3" ht="12.75">
      <c r="B14" s="239" t="s">
        <v>162</v>
      </c>
      <c r="C14" s="241">
        <v>32000</v>
      </c>
    </row>
    <row r="15" ht="12.75">
      <c r="C15" s="152"/>
    </row>
    <row r="16" spans="2:3" ht="12.75">
      <c r="B16" s="239" t="s">
        <v>163</v>
      </c>
      <c r="C16" s="242">
        <v>500</v>
      </c>
    </row>
    <row r="18" spans="2:3" ht="12.75">
      <c r="B18" s="244" t="s">
        <v>164</v>
      </c>
      <c r="C18" s="245">
        <f>C11/(C13-C12)</f>
        <v>5000</v>
      </c>
    </row>
    <row r="19" spans="2:3" ht="12.75">
      <c r="B19" s="244" t="s">
        <v>165</v>
      </c>
      <c r="C19" s="246">
        <f>+C18*C13</f>
        <v>50000</v>
      </c>
    </row>
    <row r="20" ht="12.75">
      <c r="C20" s="151"/>
    </row>
    <row r="21" spans="2:3" ht="12.75">
      <c r="B21" s="244" t="s">
        <v>166</v>
      </c>
      <c r="C21" s="246">
        <f>+C14-C18</f>
        <v>27000</v>
      </c>
    </row>
    <row r="22" spans="2:3" ht="12.75">
      <c r="B22" s="244" t="s">
        <v>101</v>
      </c>
      <c r="C22" s="246">
        <f>+C21*C13</f>
        <v>270000</v>
      </c>
    </row>
    <row r="23" spans="2:3" ht="12.75">
      <c r="B23" s="244" t="s">
        <v>102</v>
      </c>
      <c r="C23" s="247">
        <f>+C21/C14</f>
        <v>0.84375</v>
      </c>
    </row>
    <row r="26" spans="2:6" ht="12.75">
      <c r="B26" s="133" t="s">
        <v>129</v>
      </c>
      <c r="C26" s="133" t="s">
        <v>167</v>
      </c>
      <c r="D26" s="133" t="s">
        <v>168</v>
      </c>
      <c r="E26" s="133" t="s">
        <v>169</v>
      </c>
      <c r="F26" s="133" t="s">
        <v>56</v>
      </c>
    </row>
    <row r="27" spans="2:6" ht="12.75">
      <c r="B27" s="83">
        <v>0</v>
      </c>
      <c r="C27" s="72">
        <f>+$C$11</f>
        <v>10000</v>
      </c>
      <c r="D27" s="72">
        <f aca="true" t="shared" si="0" ref="D27:D47">+$C$12*B27</f>
        <v>0</v>
      </c>
      <c r="E27" s="72">
        <f aca="true" t="shared" si="1" ref="E27:E47">+C27+D27</f>
        <v>10000</v>
      </c>
      <c r="F27" s="72">
        <f aca="true" t="shared" si="2" ref="F27:F47">+$C$13*B27</f>
        <v>0</v>
      </c>
    </row>
    <row r="28" spans="2:6" ht="12.75">
      <c r="B28" s="83">
        <f>+B27+step</f>
        <v>500</v>
      </c>
      <c r="C28" s="72">
        <f aca="true" t="shared" si="3" ref="C28:C47">+$C$11</f>
        <v>10000</v>
      </c>
      <c r="D28" s="72">
        <f t="shared" si="0"/>
        <v>4000</v>
      </c>
      <c r="E28" s="72">
        <f t="shared" si="1"/>
        <v>14000</v>
      </c>
      <c r="F28" s="72">
        <f t="shared" si="2"/>
        <v>5000</v>
      </c>
    </row>
    <row r="29" spans="2:6" ht="12.75">
      <c r="B29" s="83">
        <f aca="true" t="shared" si="4" ref="B29:B47">+B28+step</f>
        <v>1000</v>
      </c>
      <c r="C29" s="72">
        <f t="shared" si="3"/>
        <v>10000</v>
      </c>
      <c r="D29" s="72">
        <f t="shared" si="0"/>
        <v>8000</v>
      </c>
      <c r="E29" s="72">
        <f t="shared" si="1"/>
        <v>18000</v>
      </c>
      <c r="F29" s="72">
        <f t="shared" si="2"/>
        <v>10000</v>
      </c>
    </row>
    <row r="30" spans="2:6" ht="12.75">
      <c r="B30" s="83">
        <f t="shared" si="4"/>
        <v>1500</v>
      </c>
      <c r="C30" s="72">
        <f t="shared" si="3"/>
        <v>10000</v>
      </c>
      <c r="D30" s="72">
        <f t="shared" si="0"/>
        <v>12000</v>
      </c>
      <c r="E30" s="72">
        <f t="shared" si="1"/>
        <v>22000</v>
      </c>
      <c r="F30" s="72">
        <f t="shared" si="2"/>
        <v>15000</v>
      </c>
    </row>
    <row r="31" spans="2:6" ht="12.75">
      <c r="B31" s="83">
        <f t="shared" si="4"/>
        <v>2000</v>
      </c>
      <c r="C31" s="72">
        <f t="shared" si="3"/>
        <v>10000</v>
      </c>
      <c r="D31" s="72">
        <f t="shared" si="0"/>
        <v>16000</v>
      </c>
      <c r="E31" s="72">
        <f t="shared" si="1"/>
        <v>26000</v>
      </c>
      <c r="F31" s="72">
        <f t="shared" si="2"/>
        <v>20000</v>
      </c>
    </row>
    <row r="32" spans="2:6" ht="12.75">
      <c r="B32" s="83">
        <f t="shared" si="4"/>
        <v>2500</v>
      </c>
      <c r="C32" s="72">
        <f t="shared" si="3"/>
        <v>10000</v>
      </c>
      <c r="D32" s="72">
        <f t="shared" si="0"/>
        <v>20000</v>
      </c>
      <c r="E32" s="72">
        <f t="shared" si="1"/>
        <v>30000</v>
      </c>
      <c r="F32" s="72">
        <f t="shared" si="2"/>
        <v>25000</v>
      </c>
    </row>
    <row r="33" spans="2:6" ht="12.75">
      <c r="B33" s="83">
        <f t="shared" si="4"/>
        <v>3000</v>
      </c>
      <c r="C33" s="72">
        <f t="shared" si="3"/>
        <v>10000</v>
      </c>
      <c r="D33" s="72">
        <f t="shared" si="0"/>
        <v>24000</v>
      </c>
      <c r="E33" s="72">
        <f t="shared" si="1"/>
        <v>34000</v>
      </c>
      <c r="F33" s="72">
        <f t="shared" si="2"/>
        <v>30000</v>
      </c>
    </row>
    <row r="34" spans="2:6" ht="12.75">
      <c r="B34" s="83">
        <f t="shared" si="4"/>
        <v>3500</v>
      </c>
      <c r="C34" s="72">
        <f t="shared" si="3"/>
        <v>10000</v>
      </c>
      <c r="D34" s="72">
        <f t="shared" si="0"/>
        <v>28000</v>
      </c>
      <c r="E34" s="72">
        <f t="shared" si="1"/>
        <v>38000</v>
      </c>
      <c r="F34" s="72">
        <f t="shared" si="2"/>
        <v>35000</v>
      </c>
    </row>
    <row r="35" spans="2:6" ht="12.75">
      <c r="B35" s="83">
        <f t="shared" si="4"/>
        <v>4000</v>
      </c>
      <c r="C35" s="72">
        <f t="shared" si="3"/>
        <v>10000</v>
      </c>
      <c r="D35" s="72">
        <f t="shared" si="0"/>
        <v>32000</v>
      </c>
      <c r="E35" s="72">
        <f t="shared" si="1"/>
        <v>42000</v>
      </c>
      <c r="F35" s="72">
        <f t="shared" si="2"/>
        <v>40000</v>
      </c>
    </row>
    <row r="36" spans="2:6" ht="12.75">
      <c r="B36" s="83">
        <f t="shared" si="4"/>
        <v>4500</v>
      </c>
      <c r="C36" s="72">
        <f t="shared" si="3"/>
        <v>10000</v>
      </c>
      <c r="D36" s="72">
        <f t="shared" si="0"/>
        <v>36000</v>
      </c>
      <c r="E36" s="72">
        <f t="shared" si="1"/>
        <v>46000</v>
      </c>
      <c r="F36" s="72">
        <f t="shared" si="2"/>
        <v>45000</v>
      </c>
    </row>
    <row r="37" spans="2:6" ht="12.75">
      <c r="B37" s="83">
        <f t="shared" si="4"/>
        <v>5000</v>
      </c>
      <c r="C37" s="72">
        <f t="shared" si="3"/>
        <v>10000</v>
      </c>
      <c r="D37" s="72">
        <f t="shared" si="0"/>
        <v>40000</v>
      </c>
      <c r="E37" s="72">
        <f t="shared" si="1"/>
        <v>50000</v>
      </c>
      <c r="F37" s="72">
        <f t="shared" si="2"/>
        <v>50000</v>
      </c>
    </row>
    <row r="38" spans="2:6" ht="12.75">
      <c r="B38" s="83">
        <f t="shared" si="4"/>
        <v>5500</v>
      </c>
      <c r="C38" s="72">
        <f t="shared" si="3"/>
        <v>10000</v>
      </c>
      <c r="D38" s="72">
        <f t="shared" si="0"/>
        <v>44000</v>
      </c>
      <c r="E38" s="72">
        <f t="shared" si="1"/>
        <v>54000</v>
      </c>
      <c r="F38" s="72">
        <f t="shared" si="2"/>
        <v>55000</v>
      </c>
    </row>
    <row r="39" spans="2:6" ht="12.75">
      <c r="B39" s="83">
        <f t="shared" si="4"/>
        <v>6000</v>
      </c>
      <c r="C39" s="72">
        <f t="shared" si="3"/>
        <v>10000</v>
      </c>
      <c r="D39" s="72">
        <f t="shared" si="0"/>
        <v>48000</v>
      </c>
      <c r="E39" s="72">
        <f t="shared" si="1"/>
        <v>58000</v>
      </c>
      <c r="F39" s="72">
        <f t="shared" si="2"/>
        <v>60000</v>
      </c>
    </row>
    <row r="40" spans="2:6" ht="12.75">
      <c r="B40" s="83">
        <f t="shared" si="4"/>
        <v>6500</v>
      </c>
      <c r="C40" s="72">
        <f t="shared" si="3"/>
        <v>10000</v>
      </c>
      <c r="D40" s="72">
        <f t="shared" si="0"/>
        <v>52000</v>
      </c>
      <c r="E40" s="72">
        <f t="shared" si="1"/>
        <v>62000</v>
      </c>
      <c r="F40" s="72">
        <f t="shared" si="2"/>
        <v>65000</v>
      </c>
    </row>
    <row r="41" spans="2:6" ht="12.75">
      <c r="B41" s="83">
        <f t="shared" si="4"/>
        <v>7000</v>
      </c>
      <c r="C41" s="72">
        <f t="shared" si="3"/>
        <v>10000</v>
      </c>
      <c r="D41" s="72">
        <f t="shared" si="0"/>
        <v>56000</v>
      </c>
      <c r="E41" s="72">
        <f t="shared" si="1"/>
        <v>66000</v>
      </c>
      <c r="F41" s="72">
        <f t="shared" si="2"/>
        <v>70000</v>
      </c>
    </row>
    <row r="42" spans="2:6" ht="12.75">
      <c r="B42" s="83">
        <f t="shared" si="4"/>
        <v>7500</v>
      </c>
      <c r="C42" s="72">
        <f t="shared" si="3"/>
        <v>10000</v>
      </c>
      <c r="D42" s="72">
        <f t="shared" si="0"/>
        <v>60000</v>
      </c>
      <c r="E42" s="72">
        <f t="shared" si="1"/>
        <v>70000</v>
      </c>
      <c r="F42" s="72">
        <f t="shared" si="2"/>
        <v>75000</v>
      </c>
    </row>
    <row r="43" spans="2:6" ht="12.75">
      <c r="B43" s="83">
        <f t="shared" si="4"/>
        <v>8000</v>
      </c>
      <c r="C43" s="72">
        <f t="shared" si="3"/>
        <v>10000</v>
      </c>
      <c r="D43" s="72">
        <f t="shared" si="0"/>
        <v>64000</v>
      </c>
      <c r="E43" s="72">
        <f t="shared" si="1"/>
        <v>74000</v>
      </c>
      <c r="F43" s="72">
        <f t="shared" si="2"/>
        <v>80000</v>
      </c>
    </row>
    <row r="44" spans="2:6" ht="12.75">
      <c r="B44" s="83">
        <f t="shared" si="4"/>
        <v>8500</v>
      </c>
      <c r="C44" s="72">
        <f t="shared" si="3"/>
        <v>10000</v>
      </c>
      <c r="D44" s="72">
        <f t="shared" si="0"/>
        <v>68000</v>
      </c>
      <c r="E44" s="72">
        <f t="shared" si="1"/>
        <v>78000</v>
      </c>
      <c r="F44" s="72">
        <f t="shared" si="2"/>
        <v>85000</v>
      </c>
    </row>
    <row r="45" spans="2:6" ht="12.75">
      <c r="B45" s="83">
        <f t="shared" si="4"/>
        <v>9000</v>
      </c>
      <c r="C45" s="72">
        <f t="shared" si="3"/>
        <v>10000</v>
      </c>
      <c r="D45" s="72">
        <f t="shared" si="0"/>
        <v>72000</v>
      </c>
      <c r="E45" s="72">
        <f t="shared" si="1"/>
        <v>82000</v>
      </c>
      <c r="F45" s="72">
        <f t="shared" si="2"/>
        <v>90000</v>
      </c>
    </row>
    <row r="46" spans="2:6" ht="12.75">
      <c r="B46" s="83">
        <f t="shared" si="4"/>
        <v>9500</v>
      </c>
      <c r="C46" s="72">
        <f t="shared" si="3"/>
        <v>10000</v>
      </c>
      <c r="D46" s="72">
        <f t="shared" si="0"/>
        <v>76000</v>
      </c>
      <c r="E46" s="72">
        <f t="shared" si="1"/>
        <v>86000</v>
      </c>
      <c r="F46" s="72">
        <f t="shared" si="2"/>
        <v>95000</v>
      </c>
    </row>
    <row r="47" spans="2:6" ht="12.75">
      <c r="B47" s="83">
        <f t="shared" si="4"/>
        <v>10000</v>
      </c>
      <c r="C47" s="72">
        <f t="shared" si="3"/>
        <v>10000</v>
      </c>
      <c r="D47" s="72">
        <f t="shared" si="0"/>
        <v>80000</v>
      </c>
      <c r="E47" s="72">
        <f t="shared" si="1"/>
        <v>90000</v>
      </c>
      <c r="F47" s="72">
        <f t="shared" si="2"/>
        <v>100000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4"/>
  <dimension ref="A2:L38"/>
  <sheetViews>
    <sheetView zoomScale="80" zoomScaleNormal="80" zoomScalePageLayoutView="0" workbookViewId="0" topLeftCell="B29">
      <selection activeCell="J54" sqref="J54"/>
    </sheetView>
  </sheetViews>
  <sheetFormatPr defaultColWidth="9.140625" defaultRowHeight="12.75"/>
  <cols>
    <col min="2" max="2" width="36.57421875" style="0" customWidth="1"/>
    <col min="3" max="3" width="14.140625" style="0" customWidth="1"/>
    <col min="4" max="4" width="13.00390625" style="0" customWidth="1"/>
    <col min="5" max="5" width="13.57421875" style="0" customWidth="1"/>
    <col min="6" max="8" width="13.00390625" style="0" customWidth="1"/>
  </cols>
  <sheetData>
    <row r="1" ht="13.5" thickBot="1"/>
    <row r="2" spans="2:8" ht="30">
      <c r="B2" s="222" t="s">
        <v>52</v>
      </c>
      <c r="C2" s="223"/>
      <c r="D2" s="223"/>
      <c r="E2" s="223"/>
      <c r="F2" s="223"/>
      <c r="G2" s="223"/>
      <c r="H2" s="224"/>
    </row>
    <row r="3" spans="2:8" ht="12.75">
      <c r="B3" s="225" t="s">
        <v>53</v>
      </c>
      <c r="C3" s="226"/>
      <c r="D3" s="226"/>
      <c r="E3" s="226"/>
      <c r="F3" s="226"/>
      <c r="G3" s="226"/>
      <c r="H3" s="227"/>
    </row>
    <row r="4" spans="2:8" ht="13.5" thickBot="1">
      <c r="B4" s="230" t="s">
        <v>170</v>
      </c>
      <c r="C4" s="228"/>
      <c r="D4" s="228"/>
      <c r="E4" s="228"/>
      <c r="F4" s="228"/>
      <c r="G4" s="228"/>
      <c r="H4" s="229"/>
    </row>
    <row r="5" spans="1:9" ht="13.5" thickBot="1">
      <c r="A5" s="134"/>
      <c r="B5" s="134"/>
      <c r="C5" s="134"/>
      <c r="D5" s="134"/>
      <c r="E5" s="134"/>
      <c r="F5" s="134"/>
      <c r="G5" s="134"/>
      <c r="H5" s="134"/>
      <c r="I5" s="134"/>
    </row>
    <row r="6" spans="2:8" ht="21" thickBot="1">
      <c r="B6" s="233" t="s">
        <v>218</v>
      </c>
      <c r="C6" s="231"/>
      <c r="D6" s="231"/>
      <c r="E6" s="231"/>
      <c r="F6" s="231"/>
      <c r="G6" s="231"/>
      <c r="H6" s="232"/>
    </row>
    <row r="7" spans="1:12" ht="13.5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5:8" ht="13.5" thickBot="1">
      <c r="E8" s="114" t="s">
        <v>97</v>
      </c>
      <c r="F8" s="70">
        <v>1</v>
      </c>
      <c r="G8" s="115"/>
      <c r="H8" s="70">
        <v>1</v>
      </c>
    </row>
    <row r="9" spans="2:8" ht="12.75">
      <c r="B9" s="85" t="s">
        <v>57</v>
      </c>
      <c r="C9" s="85" t="s">
        <v>27</v>
      </c>
      <c r="D9" s="85" t="s">
        <v>54</v>
      </c>
      <c r="E9" s="85" t="s">
        <v>27</v>
      </c>
      <c r="F9" s="85" t="s">
        <v>54</v>
      </c>
      <c r="G9" s="85" t="s">
        <v>27</v>
      </c>
      <c r="H9" s="85" t="s">
        <v>54</v>
      </c>
    </row>
    <row r="10" spans="2:8" ht="12.75">
      <c r="B10" s="86"/>
      <c r="C10" s="87" t="s">
        <v>55</v>
      </c>
      <c r="D10" s="275">
        <v>50000</v>
      </c>
      <c r="E10" s="87" t="s">
        <v>55</v>
      </c>
      <c r="F10" s="275">
        <f>+D10*1.1</f>
        <v>55000.00000000001</v>
      </c>
      <c r="G10" s="87" t="s">
        <v>55</v>
      </c>
      <c r="H10" s="275">
        <f>+D10*0.9</f>
        <v>45000</v>
      </c>
    </row>
    <row r="11" spans="2:8" ht="12.75">
      <c r="B11" s="88" t="s">
        <v>56</v>
      </c>
      <c r="C11" s="273">
        <f>20*D10</f>
        <v>1000000</v>
      </c>
      <c r="D11" s="90">
        <f aca="true" t="shared" si="0" ref="D11:D17">+C11/D$10</f>
        <v>20</v>
      </c>
      <c r="E11" s="90">
        <f>+D11*F10*F8</f>
        <v>1100000.0000000002</v>
      </c>
      <c r="F11" s="90">
        <f aca="true" t="shared" si="1" ref="F11:F17">+E11/F$10</f>
        <v>20</v>
      </c>
      <c r="G11" s="90">
        <f>+F11*H10*H8</f>
        <v>900000</v>
      </c>
      <c r="H11" s="90">
        <f aca="true" t="shared" si="2" ref="H11:H17">+G11/H$10</f>
        <v>20</v>
      </c>
    </row>
    <row r="12" spans="2:8" ht="12.75">
      <c r="B12" s="88" t="s">
        <v>103</v>
      </c>
      <c r="C12" s="90">
        <f>+C13+C14</f>
        <v>944000</v>
      </c>
      <c r="D12" s="90">
        <f t="shared" si="0"/>
        <v>18.88</v>
      </c>
      <c r="E12" s="90">
        <f>+E13+E14</f>
        <v>1009000.0000000001</v>
      </c>
      <c r="F12" s="90">
        <f t="shared" si="1"/>
        <v>18.345454545454544</v>
      </c>
      <c r="G12" s="90">
        <f>+G13+G14</f>
        <v>879000</v>
      </c>
      <c r="H12" s="90">
        <f t="shared" si="2"/>
        <v>19.533333333333335</v>
      </c>
    </row>
    <row r="13" spans="2:8" s="73" customFormat="1" ht="12.75">
      <c r="B13" s="89" t="s">
        <v>104</v>
      </c>
      <c r="C13" s="274">
        <v>294000</v>
      </c>
      <c r="D13" s="91">
        <f t="shared" si="0"/>
        <v>5.88</v>
      </c>
      <c r="E13" s="91">
        <f>+C13</f>
        <v>294000</v>
      </c>
      <c r="F13" s="91">
        <f t="shared" si="1"/>
        <v>5.345454545454545</v>
      </c>
      <c r="G13" s="91">
        <f>+E13</f>
        <v>294000</v>
      </c>
      <c r="H13" s="91">
        <f t="shared" si="2"/>
        <v>6.533333333333333</v>
      </c>
    </row>
    <row r="14" spans="2:8" s="73" customFormat="1" ht="12.75">
      <c r="B14" s="89" t="s">
        <v>105</v>
      </c>
      <c r="C14" s="274">
        <f>13*D10</f>
        <v>650000</v>
      </c>
      <c r="D14" s="91">
        <f t="shared" si="0"/>
        <v>13</v>
      </c>
      <c r="E14" s="91">
        <f>+D14*F10</f>
        <v>715000.0000000001</v>
      </c>
      <c r="F14" s="91">
        <f t="shared" si="1"/>
        <v>13</v>
      </c>
      <c r="G14" s="91">
        <f>+F14*H10</f>
        <v>585000</v>
      </c>
      <c r="H14" s="91">
        <f t="shared" si="2"/>
        <v>13</v>
      </c>
    </row>
    <row r="15" spans="2:8" ht="12.75">
      <c r="B15" s="92" t="s">
        <v>106</v>
      </c>
      <c r="C15" s="93">
        <f>+C11-C12</f>
        <v>56000</v>
      </c>
      <c r="D15" s="93">
        <f t="shared" si="0"/>
        <v>1.12</v>
      </c>
      <c r="E15" s="93">
        <f>+E11-E12</f>
        <v>91000.00000000012</v>
      </c>
      <c r="F15" s="93">
        <f t="shared" si="1"/>
        <v>1.6545454545454565</v>
      </c>
      <c r="G15" s="93">
        <f>+G11-G12</f>
        <v>21000</v>
      </c>
      <c r="H15" s="93">
        <f t="shared" si="2"/>
        <v>0.4666666666666667</v>
      </c>
    </row>
    <row r="16" spans="2:8" ht="12.75">
      <c r="B16" s="89" t="s">
        <v>108</v>
      </c>
      <c r="C16" s="274"/>
      <c r="D16" s="91">
        <f t="shared" si="0"/>
        <v>0</v>
      </c>
      <c r="E16" s="91">
        <f>+C16</f>
        <v>0</v>
      </c>
      <c r="F16" s="91">
        <f t="shared" si="1"/>
        <v>0</v>
      </c>
      <c r="G16" s="91">
        <f>+C16</f>
        <v>0</v>
      </c>
      <c r="H16" s="91">
        <f t="shared" si="2"/>
        <v>0</v>
      </c>
    </row>
    <row r="17" spans="2:8" ht="12.75">
      <c r="B17" s="92" t="s">
        <v>107</v>
      </c>
      <c r="C17" s="93">
        <f>+C15-C16</f>
        <v>56000</v>
      </c>
      <c r="D17" s="93">
        <f t="shared" si="0"/>
        <v>1.12</v>
      </c>
      <c r="E17" s="93">
        <f>+E15-E16</f>
        <v>91000.00000000012</v>
      </c>
      <c r="F17" s="93">
        <f t="shared" si="1"/>
        <v>1.6545454545454565</v>
      </c>
      <c r="G17" s="93">
        <f>+G15-G16</f>
        <v>21000</v>
      </c>
      <c r="H17" s="93">
        <f t="shared" si="2"/>
        <v>0.4666666666666667</v>
      </c>
    </row>
    <row r="18" spans="2:6" ht="12.75">
      <c r="B18" s="84"/>
      <c r="C18" s="74"/>
      <c r="D18" s="74"/>
      <c r="E18" s="74"/>
      <c r="F18" s="74"/>
    </row>
    <row r="19" spans="2:6" ht="12.75">
      <c r="B19" s="99" t="s">
        <v>109</v>
      </c>
      <c r="C19" s="109"/>
      <c r="D19" s="109"/>
      <c r="E19" s="105">
        <f>+E36/E32</f>
        <v>6.250000000000007</v>
      </c>
      <c r="F19" s="74"/>
    </row>
    <row r="20" spans="2:6" ht="12.75">
      <c r="B20" s="101" t="s">
        <v>110</v>
      </c>
      <c r="C20" s="108"/>
      <c r="D20" s="108"/>
      <c r="E20" s="107">
        <f>+E38/E36</f>
        <v>1</v>
      </c>
      <c r="F20" s="74"/>
    </row>
    <row r="21" spans="2:6" ht="12.75">
      <c r="B21" s="100" t="s">
        <v>111</v>
      </c>
      <c r="C21" s="110"/>
      <c r="D21" s="110"/>
      <c r="E21" s="106">
        <f>+E38/E32</f>
        <v>6.250000000000007</v>
      </c>
      <c r="F21" s="74"/>
    </row>
    <row r="22" spans="2:6" ht="12.75">
      <c r="B22" s="111"/>
      <c r="C22" s="112"/>
      <c r="D22" s="112"/>
      <c r="E22" s="113"/>
      <c r="F22" s="112"/>
    </row>
    <row r="23" spans="2:8" ht="12.75">
      <c r="B23" s="99" t="s">
        <v>98</v>
      </c>
      <c r="C23" s="269">
        <f>+C13/(D11-D14)</f>
        <v>42000</v>
      </c>
      <c r="D23" s="102"/>
      <c r="E23" s="272">
        <f>+E13/(F11-F14)</f>
        <v>42000</v>
      </c>
      <c r="F23" s="102"/>
      <c r="G23" s="272">
        <f>+G13/(H11-H14)</f>
        <v>42000</v>
      </c>
      <c r="H23" s="105"/>
    </row>
    <row r="24" spans="2:8" ht="12.75">
      <c r="B24" s="101" t="s">
        <v>99</v>
      </c>
      <c r="C24" s="270">
        <f>+C23*D11</f>
        <v>840000</v>
      </c>
      <c r="D24" s="104"/>
      <c r="E24" s="270">
        <f>+E23*F11</f>
        <v>840000</v>
      </c>
      <c r="F24" s="104"/>
      <c r="G24" s="270">
        <f>+G23*H11</f>
        <v>840000</v>
      </c>
      <c r="H24" s="107"/>
    </row>
    <row r="25" spans="2:8" ht="12.75">
      <c r="B25" s="101" t="s">
        <v>100</v>
      </c>
      <c r="C25" s="270">
        <f>+D10-C23</f>
        <v>8000</v>
      </c>
      <c r="D25" s="104"/>
      <c r="E25" s="270">
        <f>+F10-E23</f>
        <v>13000.000000000007</v>
      </c>
      <c r="F25" s="104"/>
      <c r="G25" s="270">
        <f>+H10-G23</f>
        <v>3000</v>
      </c>
      <c r="H25" s="107"/>
    </row>
    <row r="26" spans="2:8" ht="12.75">
      <c r="B26" s="101" t="s">
        <v>101</v>
      </c>
      <c r="C26" s="270">
        <f>+C25*D11</f>
        <v>160000</v>
      </c>
      <c r="D26" s="104"/>
      <c r="E26" s="270">
        <f>+E25*F11</f>
        <v>260000.00000000015</v>
      </c>
      <c r="F26" s="104"/>
      <c r="G26" s="270">
        <f>+G25*H11</f>
        <v>60000</v>
      </c>
      <c r="H26" s="107"/>
    </row>
    <row r="27" spans="2:8" ht="12.75">
      <c r="B27" s="100" t="s">
        <v>102</v>
      </c>
      <c r="C27" s="271">
        <f>+C25/D10</f>
        <v>0.16</v>
      </c>
      <c r="D27" s="103"/>
      <c r="E27" s="271">
        <f>+E25/F10</f>
        <v>0.23636363636363647</v>
      </c>
      <c r="F27" s="103"/>
      <c r="G27" s="271">
        <f>+G25/H10</f>
        <v>0.06666666666666667</v>
      </c>
      <c r="H27" s="106"/>
    </row>
    <row r="29" ht="12.75">
      <c r="B29" s="73" t="s">
        <v>96</v>
      </c>
    </row>
    <row r="30" spans="2:6" ht="12.75">
      <c r="B30" s="85" t="s">
        <v>57</v>
      </c>
      <c r="C30" s="94" t="s">
        <v>93</v>
      </c>
      <c r="D30" s="95" t="s">
        <v>94</v>
      </c>
      <c r="E30" s="94" t="s">
        <v>93</v>
      </c>
      <c r="F30" s="95" t="s">
        <v>95</v>
      </c>
    </row>
    <row r="31" spans="2:6" ht="12.75">
      <c r="B31" s="86"/>
      <c r="C31" s="85" t="s">
        <v>27</v>
      </c>
      <c r="D31" s="85" t="s">
        <v>54</v>
      </c>
      <c r="E31" s="85" t="s">
        <v>27</v>
      </c>
      <c r="F31" s="85" t="s">
        <v>54</v>
      </c>
    </row>
    <row r="32" spans="2:6" ht="12.75">
      <c r="B32" s="88" t="s">
        <v>56</v>
      </c>
      <c r="C32" s="90">
        <f aca="true" t="shared" si="3" ref="C32:D36">+E11-C11</f>
        <v>100000.00000000023</v>
      </c>
      <c r="D32" s="90">
        <f t="shared" si="3"/>
        <v>0</v>
      </c>
      <c r="E32" s="96">
        <f aca="true" t="shared" si="4" ref="E32:F38">+C32/C11</f>
        <v>0.10000000000000023</v>
      </c>
      <c r="F32" s="96">
        <f t="shared" si="4"/>
        <v>0</v>
      </c>
    </row>
    <row r="33" spans="2:6" ht="12.75">
      <c r="B33" s="88" t="s">
        <v>103</v>
      </c>
      <c r="C33" s="90">
        <f t="shared" si="3"/>
        <v>65000.00000000012</v>
      </c>
      <c r="D33" s="90">
        <f t="shared" si="3"/>
        <v>-0.5345454545454551</v>
      </c>
      <c r="E33" s="96">
        <f t="shared" si="4"/>
        <v>0.06885593220338995</v>
      </c>
      <c r="F33" s="96">
        <f t="shared" si="4"/>
        <v>-0.028312788906009276</v>
      </c>
    </row>
    <row r="34" spans="2:6" ht="12.75">
      <c r="B34" s="89" t="s">
        <v>104</v>
      </c>
      <c r="C34" s="90">
        <f t="shared" si="3"/>
        <v>0</v>
      </c>
      <c r="D34" s="90">
        <f t="shared" si="3"/>
        <v>-0.5345454545454551</v>
      </c>
      <c r="E34" s="96">
        <f t="shared" si="4"/>
        <v>0</v>
      </c>
      <c r="F34" s="96">
        <f t="shared" si="4"/>
        <v>-0.09090909090909101</v>
      </c>
    </row>
    <row r="35" spans="2:6" ht="12.75">
      <c r="B35" s="89" t="s">
        <v>105</v>
      </c>
      <c r="C35" s="90">
        <f t="shared" si="3"/>
        <v>65000.00000000012</v>
      </c>
      <c r="D35" s="90">
        <f t="shared" si="3"/>
        <v>0</v>
      </c>
      <c r="E35" s="96">
        <f t="shared" si="4"/>
        <v>0.10000000000000019</v>
      </c>
      <c r="F35" s="96">
        <f t="shared" si="4"/>
        <v>0</v>
      </c>
    </row>
    <row r="36" spans="2:6" ht="12.75">
      <c r="B36" s="92" t="s">
        <v>106</v>
      </c>
      <c r="C36" s="97">
        <f t="shared" si="3"/>
        <v>35000.00000000012</v>
      </c>
      <c r="D36" s="97">
        <f t="shared" si="3"/>
        <v>0.5345454545454564</v>
      </c>
      <c r="E36" s="98">
        <f t="shared" si="4"/>
        <v>0.6250000000000021</v>
      </c>
      <c r="F36" s="98">
        <f t="shared" si="4"/>
        <v>0.4772727272727289</v>
      </c>
    </row>
    <row r="37" spans="2:6" ht="12.75">
      <c r="B37" s="89" t="s">
        <v>108</v>
      </c>
      <c r="C37" s="90">
        <f>+E16-C16</f>
        <v>0</v>
      </c>
      <c r="D37" s="90">
        <f>+F16-D16</f>
        <v>0</v>
      </c>
      <c r="E37" s="96" t="e">
        <f t="shared" si="4"/>
        <v>#DIV/0!</v>
      </c>
      <c r="F37" s="96" t="e">
        <f t="shared" si="4"/>
        <v>#DIV/0!</v>
      </c>
    </row>
    <row r="38" spans="2:6" ht="12.75">
      <c r="B38" s="92" t="s">
        <v>107</v>
      </c>
      <c r="C38" s="97">
        <f>+E17-C17</f>
        <v>35000.00000000012</v>
      </c>
      <c r="D38" s="97">
        <f>+F17-D17</f>
        <v>0.5345454545454564</v>
      </c>
      <c r="E38" s="98">
        <f t="shared" si="4"/>
        <v>0.6250000000000021</v>
      </c>
      <c r="F38" s="98">
        <f t="shared" si="4"/>
        <v>0.4772727272727289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1"/>
  <dimension ref="A2:L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11" width="8.00390625" style="0" customWidth="1"/>
  </cols>
  <sheetData>
    <row r="1" ht="13.5" thickBot="1"/>
    <row r="2" spans="2:11" ht="30">
      <c r="B2" s="222" t="s">
        <v>52</v>
      </c>
      <c r="C2" s="223"/>
      <c r="D2" s="223"/>
      <c r="E2" s="223"/>
      <c r="F2" s="223"/>
      <c r="G2" s="223"/>
      <c r="H2" s="223"/>
      <c r="I2" s="223"/>
      <c r="J2" s="223"/>
      <c r="K2" s="224"/>
    </row>
    <row r="3" spans="2:11" ht="12.75">
      <c r="B3" s="225" t="s">
        <v>53</v>
      </c>
      <c r="C3" s="226"/>
      <c r="D3" s="226"/>
      <c r="E3" s="226"/>
      <c r="F3" s="226"/>
      <c r="G3" s="226"/>
      <c r="H3" s="226"/>
      <c r="I3" s="226"/>
      <c r="J3" s="226"/>
      <c r="K3" s="227"/>
    </row>
    <row r="4" spans="2:11" ht="13.5" thickBot="1">
      <c r="B4" s="230" t="s">
        <v>170</v>
      </c>
      <c r="C4" s="228"/>
      <c r="D4" s="228"/>
      <c r="E4" s="228"/>
      <c r="F4" s="228"/>
      <c r="G4" s="228"/>
      <c r="H4" s="228"/>
      <c r="I4" s="228"/>
      <c r="J4" s="228"/>
      <c r="K4" s="229"/>
    </row>
    <row r="5" spans="1:12" ht="13.5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2:11" ht="21" thickBot="1">
      <c r="B6" s="233" t="s">
        <v>215</v>
      </c>
      <c r="C6" s="231"/>
      <c r="D6" s="231"/>
      <c r="E6" s="231"/>
      <c r="F6" s="231"/>
      <c r="G6" s="231"/>
      <c r="H6" s="231"/>
      <c r="I6" s="231"/>
      <c r="J6" s="231"/>
      <c r="K6" s="232"/>
    </row>
    <row r="7" spans="1:12" ht="12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2:11" ht="12.75">
      <c r="B8" s="75" t="s">
        <v>113</v>
      </c>
      <c r="C8" s="76"/>
      <c r="D8" s="77" t="s">
        <v>88</v>
      </c>
      <c r="E8" s="78"/>
      <c r="F8" s="76"/>
      <c r="G8" s="77" t="s">
        <v>91</v>
      </c>
      <c r="H8" s="78"/>
      <c r="I8" s="76"/>
      <c r="J8" s="77" t="s">
        <v>92</v>
      </c>
      <c r="K8" s="78"/>
    </row>
    <row r="9" spans="2:11" ht="12.75">
      <c r="B9" s="79"/>
      <c r="C9" s="80" t="s">
        <v>80</v>
      </c>
      <c r="D9" s="80" t="s">
        <v>89</v>
      </c>
      <c r="E9" s="80" t="s">
        <v>90</v>
      </c>
      <c r="F9" s="80" t="s">
        <v>80</v>
      </c>
      <c r="G9" s="80" t="s">
        <v>89</v>
      </c>
      <c r="H9" s="80" t="s">
        <v>90</v>
      </c>
      <c r="I9" s="80" t="s">
        <v>80</v>
      </c>
      <c r="J9" s="80" t="s">
        <v>89</v>
      </c>
      <c r="K9" s="80" t="s">
        <v>90</v>
      </c>
    </row>
    <row r="10" spans="2:11" ht="12.75">
      <c r="B10" s="262" t="s">
        <v>112</v>
      </c>
      <c r="C10" s="263">
        <v>0.9</v>
      </c>
      <c r="D10" s="263">
        <v>0.78</v>
      </c>
      <c r="E10" s="116">
        <f aca="true" t="shared" si="0" ref="E10:E16">+C10*D10</f>
        <v>0.7020000000000001</v>
      </c>
      <c r="F10" s="264">
        <v>0.8</v>
      </c>
      <c r="G10" s="264">
        <v>0.8</v>
      </c>
      <c r="H10" s="116">
        <f aca="true" t="shared" si="1" ref="H10:H16">+F10*G10</f>
        <v>0.6400000000000001</v>
      </c>
      <c r="I10" s="351">
        <f aca="true" t="shared" si="2" ref="I10:K16">+F10-C10</f>
        <v>-0.09999999999999998</v>
      </c>
      <c r="J10" s="351">
        <f t="shared" si="2"/>
        <v>0.020000000000000018</v>
      </c>
      <c r="K10" s="351">
        <f t="shared" si="2"/>
        <v>-0.061999999999999944</v>
      </c>
    </row>
    <row r="11" spans="2:11" ht="12.75">
      <c r="B11" s="262" t="s">
        <v>58</v>
      </c>
      <c r="C11" s="263">
        <v>0.09</v>
      </c>
      <c r="D11" s="263">
        <v>8</v>
      </c>
      <c r="E11" s="116">
        <f t="shared" si="0"/>
        <v>0.72</v>
      </c>
      <c r="F11" s="264">
        <v>0.12</v>
      </c>
      <c r="G11" s="264">
        <v>7</v>
      </c>
      <c r="H11" s="116">
        <f t="shared" si="1"/>
        <v>0.84</v>
      </c>
      <c r="I11" s="351">
        <f t="shared" si="2"/>
        <v>0.03</v>
      </c>
      <c r="J11" s="351">
        <f t="shared" si="2"/>
        <v>-1</v>
      </c>
      <c r="K11" s="351">
        <f t="shared" si="2"/>
        <v>0.12</v>
      </c>
    </row>
    <row r="12" spans="2:11" ht="12.75">
      <c r="B12" s="262" t="s">
        <v>59</v>
      </c>
      <c r="C12" s="263">
        <v>0.85</v>
      </c>
      <c r="D12" s="263">
        <v>1</v>
      </c>
      <c r="E12" s="116">
        <f t="shared" si="0"/>
        <v>0.85</v>
      </c>
      <c r="F12" s="264">
        <v>0.9</v>
      </c>
      <c r="G12" s="264">
        <v>0.95</v>
      </c>
      <c r="H12" s="116">
        <f t="shared" si="1"/>
        <v>0.855</v>
      </c>
      <c r="I12" s="351">
        <f aca="true" t="shared" si="3" ref="I12:K14">+F12-C12</f>
        <v>0.050000000000000044</v>
      </c>
      <c r="J12" s="351">
        <f t="shared" si="3"/>
        <v>-0.050000000000000044</v>
      </c>
      <c r="K12" s="351">
        <f t="shared" si="3"/>
        <v>0.0050000000000000044</v>
      </c>
    </row>
    <row r="13" spans="2:11" ht="12.75">
      <c r="B13" s="262"/>
      <c r="C13" s="263"/>
      <c r="D13" s="263"/>
      <c r="E13" s="116">
        <f t="shared" si="0"/>
        <v>0</v>
      </c>
      <c r="F13" s="264"/>
      <c r="G13" s="264"/>
      <c r="H13" s="116">
        <f t="shared" si="1"/>
        <v>0</v>
      </c>
      <c r="I13" s="351">
        <f t="shared" si="3"/>
        <v>0</v>
      </c>
      <c r="J13" s="351">
        <f t="shared" si="3"/>
        <v>0</v>
      </c>
      <c r="K13" s="351">
        <f t="shared" si="3"/>
        <v>0</v>
      </c>
    </row>
    <row r="14" spans="2:11" ht="12.75">
      <c r="B14" s="262"/>
      <c r="C14" s="263"/>
      <c r="D14" s="263"/>
      <c r="E14" s="116">
        <f t="shared" si="0"/>
        <v>0</v>
      </c>
      <c r="F14" s="264"/>
      <c r="G14" s="264"/>
      <c r="H14" s="116">
        <f t="shared" si="1"/>
        <v>0</v>
      </c>
      <c r="I14" s="351">
        <f t="shared" si="3"/>
        <v>0</v>
      </c>
      <c r="J14" s="351">
        <f t="shared" si="3"/>
        <v>0</v>
      </c>
      <c r="K14" s="351">
        <f t="shared" si="3"/>
        <v>0</v>
      </c>
    </row>
    <row r="15" spans="2:11" ht="12.75">
      <c r="B15" s="262"/>
      <c r="C15" s="263"/>
      <c r="D15" s="263"/>
      <c r="E15" s="116">
        <f t="shared" si="0"/>
        <v>0</v>
      </c>
      <c r="F15" s="264"/>
      <c r="G15" s="264"/>
      <c r="H15" s="116">
        <f t="shared" si="1"/>
        <v>0</v>
      </c>
      <c r="I15" s="351">
        <f t="shared" si="2"/>
        <v>0</v>
      </c>
      <c r="J15" s="351">
        <f t="shared" si="2"/>
        <v>0</v>
      </c>
      <c r="K15" s="351">
        <f t="shared" si="2"/>
        <v>0</v>
      </c>
    </row>
    <row r="16" spans="2:11" ht="12.75">
      <c r="B16" s="262"/>
      <c r="C16" s="263"/>
      <c r="D16" s="263"/>
      <c r="E16" s="116">
        <f t="shared" si="0"/>
        <v>0</v>
      </c>
      <c r="F16" s="264"/>
      <c r="G16" s="264"/>
      <c r="H16" s="116">
        <f t="shared" si="1"/>
        <v>0</v>
      </c>
      <c r="I16" s="351">
        <f t="shared" si="2"/>
        <v>0</v>
      </c>
      <c r="J16" s="351">
        <f t="shared" si="2"/>
        <v>0</v>
      </c>
      <c r="K16" s="351">
        <f t="shared" si="2"/>
        <v>0</v>
      </c>
    </row>
    <row r="17" spans="2:11" ht="12.75">
      <c r="B17" s="81" t="s">
        <v>86</v>
      </c>
      <c r="C17" s="82"/>
      <c r="D17" s="82"/>
      <c r="E17" s="117">
        <f>+E15+E11+E10</f>
        <v>1.4220000000000002</v>
      </c>
      <c r="F17" s="82"/>
      <c r="G17" s="82"/>
      <c r="H17" s="117">
        <f>+H15+H11+H10</f>
        <v>1.48</v>
      </c>
      <c r="I17" s="117"/>
      <c r="J17" s="117"/>
      <c r="K17" s="117">
        <f>+H17-E17</f>
        <v>0.05799999999999983</v>
      </c>
    </row>
    <row r="18" ht="12.75">
      <c r="B18" t="s">
        <v>127</v>
      </c>
    </row>
    <row r="19" spans="2:11" ht="12.75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11" ht="12.75">
      <c r="B20" s="118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2:11" ht="12.75">
      <c r="B21" s="119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2:11" ht="12.75">
      <c r="B22" s="120"/>
      <c r="C22" s="121"/>
      <c r="D22" s="121"/>
      <c r="E22" s="122"/>
      <c r="F22" s="122"/>
      <c r="G22" s="122"/>
      <c r="H22" s="122"/>
      <c r="I22" s="122"/>
      <c r="J22" s="122"/>
      <c r="K22" s="122"/>
    </row>
    <row r="23" spans="2:11" ht="12.75">
      <c r="B23" s="120"/>
      <c r="C23" s="121"/>
      <c r="D23" s="121"/>
      <c r="E23" s="122"/>
      <c r="F23" s="122"/>
      <c r="G23" s="122"/>
      <c r="H23" s="122"/>
      <c r="I23" s="122"/>
      <c r="J23" s="122"/>
      <c r="K23" s="122"/>
    </row>
    <row r="24" spans="2:11" ht="12.75">
      <c r="B24" s="120"/>
      <c r="C24" s="121"/>
      <c r="D24" s="121"/>
      <c r="E24" s="122"/>
      <c r="F24" s="122"/>
      <c r="G24" s="122"/>
      <c r="H24" s="122"/>
      <c r="I24" s="122"/>
      <c r="J24" s="122"/>
      <c r="K24" s="122"/>
    </row>
    <row r="25" spans="2:11" ht="12.75">
      <c r="B25" s="123"/>
      <c r="C25" s="124"/>
      <c r="D25" s="124"/>
      <c r="E25" s="125"/>
      <c r="F25" s="124"/>
      <c r="G25" s="124"/>
      <c r="H25" s="125"/>
      <c r="I25" s="125"/>
      <c r="J25" s="125"/>
      <c r="K25" s="125"/>
    </row>
    <row r="26" spans="2:11" ht="12.75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 ht="12.75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 ht="12.75">
      <c r="B28" s="71"/>
      <c r="C28" s="71"/>
      <c r="D28" s="71"/>
      <c r="E28" s="71"/>
      <c r="F28" s="71"/>
      <c r="G28" s="71"/>
      <c r="H28" s="71"/>
      <c r="I28" s="71"/>
      <c r="J28" s="71"/>
      <c r="K28" s="71"/>
    </row>
  </sheetData>
  <sheetProtection/>
  <conditionalFormatting sqref="I10:K16">
    <cfRule type="cellIs" priority="1" dxfId="2" operator="lessThan" stopIfTrue="1">
      <formula>0</formula>
    </cfRule>
    <cfRule type="cellIs" priority="2" dxfId="1" operator="greaterThan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4"/>
  <dimension ref="A2:L3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2" max="2" width="47.140625" style="0" customWidth="1"/>
    <col min="3" max="3" width="16.00390625" style="0" customWidth="1"/>
    <col min="4" max="4" width="9.28125" style="0" bestFit="1" customWidth="1"/>
    <col min="5" max="5" width="9.421875" style="0" bestFit="1" customWidth="1"/>
    <col min="6" max="6" width="9.57421875" style="0" bestFit="1" customWidth="1"/>
    <col min="7" max="7" width="10.140625" style="0" bestFit="1" customWidth="1"/>
  </cols>
  <sheetData>
    <row r="1" ht="13.5" thickBot="1"/>
    <row r="2" spans="2:6" ht="30">
      <c r="B2" s="222" t="s">
        <v>52</v>
      </c>
      <c r="C2" s="223"/>
      <c r="D2" s="223"/>
      <c r="E2" s="223"/>
      <c r="F2" s="224"/>
    </row>
    <row r="3" spans="2:6" ht="12.75">
      <c r="B3" s="225" t="s">
        <v>53</v>
      </c>
      <c r="C3" s="226"/>
      <c r="D3" s="226"/>
      <c r="E3" s="226"/>
      <c r="F3" s="227"/>
    </row>
    <row r="4" spans="2:6" ht="13.5" thickBot="1">
      <c r="B4" s="230" t="s">
        <v>170</v>
      </c>
      <c r="C4" s="228"/>
      <c r="D4" s="228"/>
      <c r="E4" s="228"/>
      <c r="F4" s="229"/>
    </row>
    <row r="5" spans="1:7" ht="13.5" thickBot="1">
      <c r="A5" s="134"/>
      <c r="B5" s="134"/>
      <c r="C5" s="134"/>
      <c r="D5" s="134"/>
      <c r="E5" s="134"/>
      <c r="F5" s="134"/>
      <c r="G5" s="134"/>
    </row>
    <row r="6" spans="2:6" ht="21" thickBot="1">
      <c r="B6" s="233" t="s">
        <v>221</v>
      </c>
      <c r="C6" s="231"/>
      <c r="D6" s="231"/>
      <c r="E6" s="231"/>
      <c r="F6" s="232"/>
    </row>
    <row r="7" spans="1:12" ht="12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ht="13.5" thickBot="1"/>
    <row r="9" spans="2:8" ht="12.75">
      <c r="B9" s="276" t="s">
        <v>131</v>
      </c>
      <c r="C9" s="280">
        <v>0.18</v>
      </c>
      <c r="D9" s="115"/>
      <c r="E9" s="459" t="s">
        <v>227</v>
      </c>
      <c r="F9" s="460"/>
      <c r="G9" s="134"/>
      <c r="H9" s="134"/>
    </row>
    <row r="10" spans="2:8" ht="12.75">
      <c r="B10" s="277" t="s">
        <v>132</v>
      </c>
      <c r="C10" s="281">
        <v>0.04</v>
      </c>
      <c r="D10" s="115"/>
      <c r="E10" s="461"/>
      <c r="F10" s="462"/>
      <c r="G10" s="138"/>
      <c r="H10" s="134"/>
    </row>
    <row r="11" spans="2:8" ht="13.5" thickBot="1">
      <c r="B11" s="277" t="s">
        <v>219</v>
      </c>
      <c r="C11" s="278">
        <v>1</v>
      </c>
      <c r="D11" s="284" t="str">
        <f>CHOOSE(C11,"sim","não")</f>
        <v>sim</v>
      </c>
      <c r="E11" s="463"/>
      <c r="F11" s="464"/>
      <c r="G11" s="285"/>
      <c r="H11" s="134"/>
    </row>
    <row r="12" spans="2:8" ht="13.5" thickBot="1">
      <c r="B12" s="277" t="s">
        <v>231</v>
      </c>
      <c r="C12" s="282">
        <v>800</v>
      </c>
      <c r="D12" s="115"/>
      <c r="E12" s="300" t="s">
        <v>225</v>
      </c>
      <c r="G12" s="134"/>
      <c r="H12" s="134"/>
    </row>
    <row r="13" spans="2:8" ht="13.5" thickBot="1">
      <c r="B13" s="279" t="s">
        <v>136</v>
      </c>
      <c r="C13" s="283">
        <v>8000</v>
      </c>
      <c r="D13" s="115"/>
      <c r="E13" s="457">
        <v>0.6</v>
      </c>
      <c r="F13" s="296">
        <f>+E13-(C23/C21)</f>
        <v>-0.04230962793509474</v>
      </c>
      <c r="G13" s="298" t="s">
        <v>228</v>
      </c>
      <c r="H13" s="134"/>
    </row>
    <row r="14" spans="5:8" ht="13.5" thickBot="1">
      <c r="E14" s="458"/>
      <c r="F14" s="297"/>
      <c r="G14" s="301">
        <f>+C21</f>
        <v>5745.936235298993</v>
      </c>
      <c r="H14" s="134"/>
    </row>
    <row r="15" spans="2:6" ht="13.5" thickBot="1">
      <c r="B15" s="286" t="s">
        <v>223</v>
      </c>
      <c r="C15" s="295">
        <v>3690.6701654336744</v>
      </c>
      <c r="E15" s="299" t="s">
        <v>226</v>
      </c>
      <c r="F15" s="134"/>
    </row>
    <row r="16" spans="2:7" ht="12.75">
      <c r="B16" s="134"/>
      <c r="C16" s="134"/>
      <c r="E16" s="457">
        <v>0.6</v>
      </c>
      <c r="F16" s="296">
        <f>+E16-(C34/C33)</f>
        <v>5.371914557972257E-05</v>
      </c>
      <c r="G16" s="298" t="s">
        <v>228</v>
      </c>
    </row>
    <row r="17" spans="2:7" s="134" customFormat="1" ht="13.5" thickBot="1">
      <c r="B17" s="137" t="s">
        <v>229</v>
      </c>
      <c r="C17"/>
      <c r="E17" s="437"/>
      <c r="F17" s="297"/>
      <c r="G17" s="301">
        <f>+C33</f>
        <v>6151.667712945175</v>
      </c>
    </row>
    <row r="18" spans="2:6" ht="12.75">
      <c r="B18" s="291" t="s">
        <v>232</v>
      </c>
      <c r="C18" s="288">
        <f>+C12+C15</f>
        <v>4490.670165433674</v>
      </c>
      <c r="E18" s="140"/>
      <c r="F18" s="134"/>
    </row>
    <row r="19" spans="2:6" ht="12.75">
      <c r="B19" s="292" t="s">
        <v>133</v>
      </c>
      <c r="C19" s="289">
        <f>CHOOSE(C11,C18/(1-(C9*(1+C10))),+C18/(1-C9))</f>
        <v>5524.938687787493</v>
      </c>
      <c r="E19" s="134"/>
      <c r="F19" s="134"/>
    </row>
    <row r="20" spans="2:6" ht="12.75">
      <c r="B20" s="292" t="s">
        <v>134</v>
      </c>
      <c r="C20" s="289">
        <f>CHOOSE(C11,C10*C19,C10*C19)</f>
        <v>220.99754751149973</v>
      </c>
      <c r="D20" s="134"/>
      <c r="E20" s="134"/>
      <c r="F20" s="134"/>
    </row>
    <row r="21" spans="2:6" ht="12.75">
      <c r="B21" s="292" t="s">
        <v>142</v>
      </c>
      <c r="C21" s="289">
        <f>+C19+C20</f>
        <v>5745.936235298993</v>
      </c>
      <c r="D21" s="140"/>
      <c r="E21" s="138"/>
      <c r="F21" s="138"/>
    </row>
    <row r="22" spans="2:6" ht="13.5" thickBot="1">
      <c r="B22" s="293" t="s">
        <v>135</v>
      </c>
      <c r="C22" s="290">
        <f>CHOOSE(C11,C9*C21,C19-C18)</f>
        <v>1034.2685223538188</v>
      </c>
      <c r="D22" s="134"/>
      <c r="E22" s="134"/>
      <c r="F22" s="138"/>
    </row>
    <row r="23" spans="2:6" ht="13.5" thickBot="1">
      <c r="B23" s="287" t="s">
        <v>224</v>
      </c>
      <c r="C23" s="294">
        <f>+C21-C22-C20-C12</f>
        <v>3690.670165433675</v>
      </c>
      <c r="D23" s="134"/>
      <c r="E23" s="138"/>
      <c r="F23" s="134"/>
    </row>
    <row r="24" spans="4:6" ht="12.75">
      <c r="D24" s="139"/>
      <c r="E24" s="138"/>
      <c r="F24" s="134"/>
    </row>
    <row r="25" spans="2:6" ht="13.5" thickBot="1">
      <c r="B25" s="137" t="s">
        <v>230</v>
      </c>
      <c r="D25" s="139"/>
      <c r="E25" s="134"/>
      <c r="F25" s="134"/>
    </row>
    <row r="26" spans="2:4" ht="12.75">
      <c r="B26" s="291" t="s">
        <v>232</v>
      </c>
      <c r="C26" s="288">
        <f>+C18</f>
        <v>4490.670165433674</v>
      </c>
      <c r="D26" s="139"/>
    </row>
    <row r="27" spans="2:4" ht="12.75">
      <c r="B27" s="292" t="s">
        <v>141</v>
      </c>
      <c r="C27" s="289">
        <f>+C19</f>
        <v>5524.938687787493</v>
      </c>
      <c r="D27" s="134"/>
    </row>
    <row r="28" spans="2:4" ht="12.75">
      <c r="B28" s="292" t="s">
        <v>134</v>
      </c>
      <c r="C28" s="289">
        <f>+C20</f>
        <v>220.99754751149973</v>
      </c>
      <c r="D28" s="21"/>
    </row>
    <row r="29" spans="2:3" ht="12.75">
      <c r="B29" s="292" t="s">
        <v>137</v>
      </c>
      <c r="C29" s="289">
        <f>+C21</f>
        <v>5745.936235298993</v>
      </c>
    </row>
    <row r="30" spans="2:4" ht="12.75">
      <c r="B30" s="292" t="s">
        <v>138</v>
      </c>
      <c r="C30" s="289">
        <f>+C22</f>
        <v>1034.2685223538188</v>
      </c>
      <c r="D30" s="24"/>
    </row>
    <row r="31" spans="2:3" ht="12.75">
      <c r="B31" s="292" t="s">
        <v>139</v>
      </c>
      <c r="C31" s="289">
        <f>+C32-C30</f>
        <v>405.73147764618125</v>
      </c>
    </row>
    <row r="32" spans="2:3" ht="12.75">
      <c r="B32" s="292" t="s">
        <v>140</v>
      </c>
      <c r="C32" s="289">
        <f>+C13*C9</f>
        <v>1440</v>
      </c>
    </row>
    <row r="33" spans="2:4" ht="13.5" thickBot="1">
      <c r="B33" s="293" t="s">
        <v>142</v>
      </c>
      <c r="C33" s="290">
        <f>+C29+C31</f>
        <v>6151.667712945175</v>
      </c>
      <c r="D33" s="24"/>
    </row>
    <row r="34" spans="2:3" ht="13.5" thickBot="1">
      <c r="B34" s="287" t="s">
        <v>224</v>
      </c>
      <c r="C34" s="294">
        <f>+C33-C32-C28-C12</f>
        <v>3690.670165433675</v>
      </c>
    </row>
  </sheetData>
  <sheetProtection/>
  <mergeCells count="3">
    <mergeCell ref="E13:E14"/>
    <mergeCell ref="E16:E17"/>
    <mergeCell ref="E9:F11"/>
  </mergeCells>
  <printOptions/>
  <pageMargins left="0.787401575" right="0.787401575" top="0.984251969" bottom="0.984251969" header="0.492125985" footer="0.49212598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Leal Bruni</dc:creator>
  <cp:keywords/>
  <dc:description/>
  <cp:lastModifiedBy>ananiasj</cp:lastModifiedBy>
  <dcterms:created xsi:type="dcterms:W3CDTF">1999-12-13T17:45:43Z</dcterms:created>
  <dcterms:modified xsi:type="dcterms:W3CDTF">2016-12-15T20:37:41Z</dcterms:modified>
  <cp:category/>
  <cp:version/>
  <cp:contentType/>
  <cp:contentStatus/>
</cp:coreProperties>
</file>